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 Rules" sheetId="1" r:id="rId4"/>
    <sheet state="visible" name="Rankings" sheetId="2" r:id="rId5"/>
    <sheet state="visible" name="Leaderboard" sheetId="3" r:id="rId6"/>
    <sheet state="visible" name="Themes" sheetId="4" r:id="rId7"/>
    <sheet state="visible" name="2026 Song of the Month" sheetId="5" r:id="rId8"/>
    <sheet state="visible" name="2025 Song of the Month" sheetId="6" r:id="rId9"/>
    <sheet state="visible" name="2025 Song of the Year" sheetId="7" r:id="rId10"/>
  </sheets>
  <definedNames>
    <definedName name="Metal">#REF!</definedName>
    <definedName name="Pop">#REF!</definedName>
    <definedName name="Jazz">#REF!</definedName>
    <definedName name="Electronic">#REF!</definedName>
    <definedName name="Classical">#REF!</definedName>
    <definedName name="International">#REF!</definedName>
    <definedName name="Hip_Hop">#REF!</definedName>
    <definedName name="R_B">#REF!</definedName>
    <definedName name="Rap">#REF!</definedName>
    <definedName name="Parent_Genre">#REF!</definedName>
    <definedName name="Other">#REF!</definedName>
    <definedName name="Rock">#REF!</definedName>
    <definedName name="Country">#REF!</definedName>
    <definedName hidden="1" localSheetId="1" name="_xlnm._FilterDatabase">Rankings!$E$1:$E$1348</definedName>
  </definedNames>
  <calcPr/>
  <extLst>
    <ext uri="GoogleSheetsCustomDataVersion2">
      <go:sheetsCustomData xmlns:go="http://customooxmlschemas.google.com/" r:id="rId11" roundtripDataChecksum="fFq3iAi1VPshkHxd/5veMFkU5ppCJJ3bzOk6dX9EPK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837">
      <text>
        <t xml:space="preserve">======
ID#AAAB9sullOY
Tyler Piontkowski    (2026-06-16 15:50:37)
RIP</t>
      </text>
    </comment>
  </commentList>
  <extLst>
    <ext uri="GoogleSheetsCustomDataVersion2">
      <go:sheetsCustomData xmlns:go="http://customooxmlschemas.google.com/" r:id="rId1" roundtripDataSignature="AMtx7mj78vMwTtxClf8q7HJqTbKaA0+ImQ=="/>
    </ext>
  </extLst>
</comments>
</file>

<file path=xl/sharedStrings.xml><?xml version="1.0" encoding="utf-8"?>
<sst xmlns="http://schemas.openxmlformats.org/spreadsheetml/2006/main" count="5146" uniqueCount="2449">
  <si>
    <t>The Constitution of Music Book Club</t>
  </si>
  <si>
    <t>Bill of Rights</t>
  </si>
  <si>
    <t>Number of Wins</t>
  </si>
  <si>
    <t>Rules</t>
  </si>
  <si>
    <t>Sum of Average</t>
  </si>
  <si>
    <t>Overall Average</t>
  </si>
  <si>
    <t>Place</t>
  </si>
  <si>
    <t>Constructors</t>
  </si>
  <si>
    <t>Right to vote</t>
  </si>
  <si>
    <t>The user shall post a song every Mon, Wed, Fri</t>
  </si>
  <si>
    <t xml:space="preserve">  </t>
  </si>
  <si>
    <t>Right to post any song</t>
  </si>
  <si>
    <t>Up for Vote Themes</t>
  </si>
  <si>
    <t>The user shall listen to each song until the song ends or for at least 6 minutes, whichever comes first</t>
  </si>
  <si>
    <t>Voters</t>
  </si>
  <si>
    <t>Results</t>
  </si>
  <si>
    <t>Poster</t>
  </si>
  <si>
    <t>Theme Pool</t>
  </si>
  <si>
    <t>Picked</t>
  </si>
  <si>
    <t>Date</t>
  </si>
  <si>
    <t>Winning Song</t>
  </si>
  <si>
    <t>Winner</t>
  </si>
  <si>
    <t>Proponent</t>
  </si>
  <si>
    <t>Theme Suggestion</t>
  </si>
  <si>
    <t>Theme Description (Optional)</t>
  </si>
  <si>
    <t>Logan</t>
  </si>
  <si>
    <t>Parker</t>
  </si>
  <si>
    <t>Giacomo</t>
  </si>
  <si>
    <t>Rosey</t>
  </si>
  <si>
    <t>TTAC</t>
  </si>
  <si>
    <t>Weston</t>
  </si>
  <si>
    <t>Jake / Flocco</t>
  </si>
  <si>
    <t>The user shall be truthful with the votes</t>
  </si>
  <si>
    <t>Yes</t>
  </si>
  <si>
    <t>The user shall not repeat a song</t>
  </si>
  <si>
    <t>B.I.T.C.H.</t>
  </si>
  <si>
    <t>Non-Proliferation Treaty</t>
  </si>
  <si>
    <t>Bad Bitch Era</t>
  </si>
  <si>
    <t>A song that makes you feel like a bad bitch</t>
  </si>
  <si>
    <t>In Favor</t>
  </si>
  <si>
    <t>Perfect Ten</t>
  </si>
  <si>
    <t>Rosey Faces</t>
  </si>
  <si>
    <t>Murdered/Murdered Someone</t>
  </si>
  <si>
    <t>Proposed Rules</t>
  </si>
  <si>
    <t>Jake</t>
  </si>
  <si>
    <t>All The Things She Said</t>
  </si>
  <si>
    <t>Lil TJay is banished to the shadow realm</t>
  </si>
  <si>
    <t>Bechdel Test</t>
  </si>
  <si>
    <t>Has to pass it</t>
  </si>
  <si>
    <t>Y</t>
  </si>
  <si>
    <t>faggot</t>
  </si>
  <si>
    <t>W</t>
  </si>
  <si>
    <t>?</t>
  </si>
  <si>
    <t>Y LLORO</t>
  </si>
  <si>
    <t>Sad Boy Hours</t>
  </si>
  <si>
    <t>No Tinkering of Votes</t>
  </si>
  <si>
    <t>fag</t>
  </si>
  <si>
    <t>Tink By Smino</t>
  </si>
  <si>
    <t>🚁</t>
  </si>
  <si>
    <t>Amendment's only need 6/7 votes to pass :)</t>
  </si>
  <si>
    <t>😡</t>
  </si>
  <si>
    <t>Music Videos</t>
  </si>
  <si>
    <t>TTAC Daily 7</t>
  </si>
  <si>
    <t>O/
 |</t>
  </si>
  <si>
    <t>🛶</t>
  </si>
  <si>
    <t>Removal of all photos/gifs</t>
  </si>
  <si>
    <t>Inshallah</t>
  </si>
  <si>
    <t>add flocco</t>
  </si>
  <si>
    <t>🦉</t>
  </si>
  <si>
    <t xml:space="preserve">The music vid can take apart as the score or as separate, but it has to atleast be a song where the video adds to the experience or is iconic in one way or another </t>
  </si>
  <si>
    <t>Album Art</t>
  </si>
  <si>
    <t>Winner of the day</t>
  </si>
  <si>
    <t>Quickscope montage</t>
  </si>
  <si>
    <t>Any song from a cod/cs/val edit</t>
  </si>
  <si>
    <t>Opposed</t>
  </si>
  <si>
    <t>Average</t>
  </si>
  <si>
    <t>STDEV</t>
  </si>
  <si>
    <t>I2I</t>
  </si>
  <si>
    <t>Peer Rank</t>
  </si>
  <si>
    <t>If rules have been proposed, votes will be cast in this document. If the rule was proposed before noon, a vote will be held and a ruling will be made by the end of the same work day. Otherwise, a vote and ruling will be held the following work day. A unanimous vote is needed to pass.</t>
  </si>
  <si>
    <t>Famous Song in a Movie</t>
  </si>
  <si>
    <t>Song Title</t>
  </si>
  <si>
    <t>Artist</t>
  </si>
  <si>
    <t>Speed Round</t>
  </si>
  <si>
    <t>Song that's less than 1 minute</t>
  </si>
  <si>
    <t>Flocco</t>
  </si>
  <si>
    <t>Day Rank</t>
  </si>
  <si>
    <t>W Rank</t>
  </si>
  <si>
    <t>Score</t>
  </si>
  <si>
    <t>Notes</t>
  </si>
  <si>
    <t>RNP</t>
  </si>
  <si>
    <t>Horny</t>
  </si>
  <si>
    <t>Some freaky ahh shit that gon make you act up</t>
  </si>
  <si>
    <t>Last Christmas</t>
  </si>
  <si>
    <t>XXL Freshman</t>
  </si>
  <si>
    <t>Lavender Town</t>
  </si>
  <si>
    <t>X-Mas Songs</t>
  </si>
  <si>
    <t>Sometime in DEC</t>
  </si>
  <si>
    <t>27 club</t>
  </si>
  <si>
    <t>died at 27 years old</t>
  </si>
  <si>
    <t>Spooky/Scary Songs</t>
  </si>
  <si>
    <t>Unshaken</t>
  </si>
  <si>
    <t>Receiptify Top Artist</t>
  </si>
  <si>
    <r>
      <rPr>
        <color rgb="FF0563C1"/>
        <u/>
      </rPr>
      <t>https://receiptify.herokuapp.com</t>
    </r>
    <r>
      <rPr/>
      <t xml:space="preserve"> - Use this link to see your Top Artist at the time - 6 Months</t>
    </r>
  </si>
  <si>
    <t xml:space="preserve">Earthquake </t>
  </si>
  <si>
    <t>Ferdous</t>
  </si>
  <si>
    <t>HISS</t>
  </si>
  <si>
    <t>Wrapped Song</t>
  </si>
  <si>
    <t>Pick a top 5 song from any of your wrapped</t>
  </si>
  <si>
    <t>Video Game OST</t>
  </si>
  <si>
    <t>Agora Hills</t>
  </si>
  <si>
    <t>Haters</t>
  </si>
  <si>
    <t>Diss tracks or songs that were made to spite someone/something</t>
  </si>
  <si>
    <t>Time</t>
  </si>
  <si>
    <t>Secret Missions</t>
  </si>
  <si>
    <t>Send it Back</t>
  </si>
  <si>
    <t>Don West</t>
  </si>
  <si>
    <t xml:space="preserve">Each person is assigned another theme at random and in secret and you have to pick a song for your secret theme. People can also guess at what other peoples secret theme was. </t>
  </si>
  <si>
    <t>The Seed (2.0)</t>
  </si>
  <si>
    <t>Guilty Pleasure</t>
  </si>
  <si>
    <t>A song you are embaressed to like</t>
  </si>
  <si>
    <t>The Ink Master</t>
  </si>
  <si>
    <t>The winner of the flash challenge (last theme) has the power to assign the skulls (genre or topic) in the elimination tattoo (this theme)</t>
  </si>
  <si>
    <t>Face My Fears</t>
  </si>
  <si>
    <t xml:space="preserve">Genre Medley </t>
  </si>
  <si>
    <t>Everyone is assigned a person and they have to pick a genre of music for that person to oblige by</t>
  </si>
  <si>
    <t>Local</t>
  </si>
  <si>
    <t>Any Artist/band from NJ or Philly</t>
  </si>
  <si>
    <t>FOCUS</t>
  </si>
  <si>
    <t>_BY.ALEXANDER</t>
  </si>
  <si>
    <t>COWBELL WARRIORS!</t>
  </si>
  <si>
    <t>Weeb Song</t>
  </si>
  <si>
    <t>A Japanese song, doesn't need to be anime related</t>
  </si>
  <si>
    <t>Red Red Wine</t>
  </si>
  <si>
    <t>Instruments only</t>
  </si>
  <si>
    <t>No EDM</t>
  </si>
  <si>
    <t>Jog Pra Lua</t>
  </si>
  <si>
    <t>Top Song of Wrapped</t>
  </si>
  <si>
    <t>When spotify wrapped drops, play your number 1 played song of the year</t>
  </si>
  <si>
    <t>Beat Switch</t>
  </si>
  <si>
    <t>Songs with a beat switch in there</t>
  </si>
  <si>
    <t xml:space="preserve"> </t>
  </si>
  <si>
    <t>Unique Sound</t>
  </si>
  <si>
    <t>Songs that don't sound like anything else</t>
  </si>
  <si>
    <t>Who Dat Girl</t>
  </si>
  <si>
    <t>Skin Color</t>
  </si>
  <si>
    <t xml:space="preserve">Choose a song that when you listen to it and you go look at the artist picture, they do not match the voice. </t>
  </si>
  <si>
    <t>Aloe Lite</t>
  </si>
  <si>
    <t>Good Kid</t>
  </si>
  <si>
    <t>Side projects</t>
  </si>
  <si>
    <t>When a band member creates a 2nd band or an artist creates an alias</t>
  </si>
  <si>
    <t>Songs that make you want to drive 100 mph</t>
  </si>
  <si>
    <t>These are songs that make you wanna go fast!</t>
  </si>
  <si>
    <t>Hammock Vibes</t>
  </si>
  <si>
    <t>Chill vibes of just relaxing</t>
  </si>
  <si>
    <t>GeoGuessr</t>
  </si>
  <si>
    <t>1-2 Games of Geoguessr and whatever countries you get right, artist has to be from/origin</t>
  </si>
  <si>
    <t>Buttercup</t>
  </si>
  <si>
    <t>Hippo Campus</t>
  </si>
  <si>
    <t>Snap my Finger</t>
  </si>
  <si>
    <t>Kaytranada</t>
  </si>
  <si>
    <t>Ignorance</t>
  </si>
  <si>
    <t>Theme Graveyard</t>
  </si>
  <si>
    <t>A Theme is randomly selected out of the themes which were already done (Probably best to wait a bit on this one)</t>
  </si>
  <si>
    <t>Good Head Songs</t>
  </si>
  <si>
    <t>Help Is On It's Way</t>
  </si>
  <si>
    <t>Little River Band</t>
  </si>
  <si>
    <t>Average Rank</t>
  </si>
  <si>
    <t>Whips</t>
  </si>
  <si>
    <t xml:space="preserve">Song named after a car or a mode of transportation </t>
  </si>
  <si>
    <t>Poster/Voter</t>
  </si>
  <si>
    <t>Stare At The Sun</t>
  </si>
  <si>
    <t>Vehicles</t>
  </si>
  <si>
    <t>Songs named after vehicles</t>
  </si>
  <si>
    <t>Summer Songs</t>
  </si>
  <si>
    <t>Songs that remind you of Summer</t>
  </si>
  <si>
    <t>Winter Songs</t>
  </si>
  <si>
    <t>Songs that give you that Winter feeling</t>
  </si>
  <si>
    <t>All The Small Things</t>
  </si>
  <si>
    <t>TTAC Song</t>
  </si>
  <si>
    <t>Post a song that TTAC would post and get auto 7'd for</t>
  </si>
  <si>
    <t>Bizarre Adventure</t>
  </si>
  <si>
    <t>Songs or Bands must share a name with a Stand, Character or Musical Reference from Jojo's Bizarre Adventure (No Part 8 or 9 References)</t>
  </si>
  <si>
    <t>Carried</t>
  </si>
  <si>
    <t>Songs where the feature outshines the main artist</t>
  </si>
  <si>
    <t>Meat</t>
  </si>
  <si>
    <t>Hidden Messages</t>
  </si>
  <si>
    <t>Songs that contain a hidden message via something like morse code or needing to play in reverse</t>
  </si>
  <si>
    <t>Ayo?</t>
  </si>
  <si>
    <t>Songs that are completely normal but have a weird bar thrown in there that makes you go ayo pause</t>
  </si>
  <si>
    <t xml:space="preserve">Top 10 staTues tHat CriEd bloOd </t>
  </si>
  <si>
    <t>Bring Me The Horizon</t>
  </si>
  <si>
    <t>Easy Read</t>
  </si>
  <si>
    <t>Each person selects someone else, who the song is meant to impress, in secret (same person can be selected multiple times). First criteria for the win is the ranking your target gives the song, the standard group ranking will be the tiebraker.</t>
  </si>
  <si>
    <t>Feature Flop</t>
  </si>
  <si>
    <t>Song where the feature ruins the song</t>
  </si>
  <si>
    <t>Song Thats Named After a Person</t>
  </si>
  <si>
    <t>AURORA</t>
  </si>
  <si>
    <t>Mora, De La Rose</t>
  </si>
  <si>
    <t>Needs Explanation</t>
  </si>
  <si>
    <t>Mutually Assured Destruction</t>
  </si>
  <si>
    <t>Everyone posts a nuke</t>
  </si>
  <si>
    <t>Hey, I know that Guy!</t>
  </si>
  <si>
    <t>Must know someone who is credited in the song, produce, wrote, is in the band, ect.  Can be "friends of a friend" link too if you dont know anyone directly</t>
  </si>
  <si>
    <t>Tony Hawk Pro Skater 2025</t>
  </si>
  <si>
    <t>Post a song you think would be in a modern THPS soundtrack (2016-now)</t>
  </si>
  <si>
    <t>Sports Game Soundtrack</t>
  </si>
  <si>
    <t>A song that is featured on a sports game soundtrack, Fifa, madden, Tony Hawk, ect.</t>
  </si>
  <si>
    <t>Two Hit Wonder?</t>
  </si>
  <si>
    <t>song by an artist that's considered a one hit wonder but it can't be their known song</t>
  </si>
  <si>
    <t>Live Music</t>
  </si>
  <si>
    <t>Must have seen this song performed live at a concert by the artist</t>
  </si>
  <si>
    <t>Pot of Greed</t>
  </si>
  <si>
    <t>SEE U DANCE</t>
  </si>
  <si>
    <t>Pot of Greed is a magic card (theme) that lets you draw 2 cards (songs) from the top of your deck (main playlist/ liked songs on shuffle). You may put one of the two drawn cards (songs) onto the field (group playlist) and end your turn</t>
  </si>
  <si>
    <t>Joey Valence &amp; Brae, Rebecca Black</t>
  </si>
  <si>
    <t>Straight Outta the Vagina</t>
  </si>
  <si>
    <t>Top 25 Charting Songs on the day you were born</t>
  </si>
  <si>
    <t>Combo Breaker</t>
  </si>
  <si>
    <t>Choose a song that fits as many themes as possible</t>
  </si>
  <si>
    <t>2000s</t>
  </si>
  <si>
    <t>Songs we blasting dropping into WW3</t>
  </si>
  <si>
    <t>Ragebait TTAC Day</t>
  </si>
  <si>
    <t>"What's this newfangled horse-hockey?"</t>
  </si>
  <si>
    <t>Copy cat</t>
  </si>
  <si>
    <t>Cover that's better than the original song</t>
  </si>
  <si>
    <t xml:space="preserve">Walkout Song </t>
  </si>
  <si>
    <t>An Athlete/Team Who Walks out to this song. (Baseball Player, MMA Fighter, Super Bowl Walkout Song</t>
  </si>
  <si>
    <t>Obamna</t>
  </si>
  <si>
    <t>Pick a song from any Obama summer playlist</t>
  </si>
  <si>
    <t>Tree</t>
  </si>
  <si>
    <t>Chance the Rapper, Smino, Lil Wayne</t>
  </si>
  <si>
    <t>Same same same</t>
  </si>
  <si>
    <t>Band, album, and song title all share the same name</t>
  </si>
  <si>
    <t>Mid Off</t>
  </si>
  <si>
    <t>Most Mid "4" OAT</t>
  </si>
  <si>
    <t>Shit Off</t>
  </si>
  <si>
    <t>TTAC type shit, 7s only</t>
  </si>
  <si>
    <t>Dinner and a show</t>
  </si>
  <si>
    <t>Best music video wins</t>
  </si>
  <si>
    <t>In favor</t>
  </si>
  <si>
    <t>Odd Collab</t>
  </si>
  <si>
    <t>A feature/producer collab that is the polar opposite of eachother/wouldnt expect a collab</t>
  </si>
  <si>
    <t>La Mamá de la Mamá</t>
  </si>
  <si>
    <t>El Alfa, Chael Produciendo, CJ</t>
  </si>
  <si>
    <t>Ohhhhh yeah</t>
  </si>
  <si>
    <t>Pick a song that we've definitely heard but probably forgot about</t>
  </si>
  <si>
    <t>Evil Easy Read</t>
  </si>
  <si>
    <t>Same rules as Easy Read, but looking for a low rating from target</t>
  </si>
  <si>
    <t>Löded Diper Setlist</t>
  </si>
  <si>
    <t>Pick a song that Rodrick and the band would cover</t>
  </si>
  <si>
    <t>That's me!</t>
  </si>
  <si>
    <t>The artist's name must match your own</t>
  </si>
  <si>
    <t>Gaslight, Girlboss, Slay</t>
  </si>
  <si>
    <t>Songs about cheating, gaslighting, adultery, lying, promiscuity, etc.</t>
  </si>
  <si>
    <t>The Artist in the Ambulance</t>
  </si>
  <si>
    <t>Thrice</t>
  </si>
  <si>
    <t>N/A</t>
  </si>
  <si>
    <t>Indigo</t>
  </si>
  <si>
    <t>Magnolian</t>
  </si>
  <si>
    <t>Best Rank</t>
  </si>
  <si>
    <t>Candle Flame</t>
  </si>
  <si>
    <t>Jungle, Erick the Architect</t>
  </si>
  <si>
    <t>Bros</t>
  </si>
  <si>
    <t>Wolf Alice</t>
  </si>
  <si>
    <t>move it along</t>
  </si>
  <si>
    <t>Sasha Keable, Leon Thomas</t>
  </si>
  <si>
    <t>Helena Beat</t>
  </si>
  <si>
    <t>Foster the People</t>
  </si>
  <si>
    <t>PROM/KING</t>
  </si>
  <si>
    <t>Saba</t>
  </si>
  <si>
    <t>The Kiss of Venus (Dominic Fike)</t>
  </si>
  <si>
    <t>Paul McCartney, Dominic Fike</t>
  </si>
  <si>
    <t>Pressure</t>
  </si>
  <si>
    <t>Billy Joel</t>
  </si>
  <si>
    <t>Worst Rank</t>
  </si>
  <si>
    <t xml:space="preserve">Politix </t>
  </si>
  <si>
    <t xml:space="preserve">Balu Brigada </t>
  </si>
  <si>
    <t>BUBALU</t>
  </si>
  <si>
    <t>Feid,Rema</t>
  </si>
  <si>
    <t>mudbone</t>
  </si>
  <si>
    <t>Paris Texas</t>
  </si>
  <si>
    <t>On My Own</t>
  </si>
  <si>
    <t>Jaden, Kid Cudi</t>
  </si>
  <si>
    <t>Brunette</t>
  </si>
  <si>
    <t>Tucker Wetmore</t>
  </si>
  <si>
    <t>Sedona</t>
  </si>
  <si>
    <t>Houndmouth</t>
  </si>
  <si>
    <t>Heavy</t>
  </si>
  <si>
    <t>The Marias</t>
  </si>
  <si>
    <t>Hall of Fame</t>
  </si>
  <si>
    <t>Hall of Shame</t>
  </si>
  <si>
    <t>Hall of Same</t>
  </si>
  <si>
    <t>Clown Award</t>
  </si>
  <si>
    <t>Song Artist</t>
  </si>
  <si>
    <t>FAMJAM4000</t>
  </si>
  <si>
    <t>Jordan Ward</t>
  </si>
  <si>
    <t>Étouffée</t>
  </si>
  <si>
    <t>Vince Staples</t>
  </si>
  <si>
    <t>How Can I Love Her More?</t>
  </si>
  <si>
    <t>The Lemon Twigs</t>
  </si>
  <si>
    <t>Paradox</t>
  </si>
  <si>
    <t>Survive Said the Prophet</t>
  </si>
  <si>
    <t>Solsbury Hill</t>
  </si>
  <si>
    <t>Peter Gabriel</t>
  </si>
  <si>
    <t>Drugs you should try it</t>
  </si>
  <si>
    <t>Travis Scott</t>
  </si>
  <si>
    <t>Save Your Soul</t>
  </si>
  <si>
    <t>Kathleen Edwards</t>
  </si>
  <si>
    <t>ROLLER COASTER</t>
  </si>
  <si>
    <t>legallyrxx</t>
  </si>
  <si>
    <t>First sweep, racism test passed :)</t>
  </si>
  <si>
    <t>Kitchen</t>
  </si>
  <si>
    <t>Kid Cudi</t>
  </si>
  <si>
    <t>Buenos tiempos</t>
  </si>
  <si>
    <t>Dillom</t>
  </si>
  <si>
    <t>TEMPTATION</t>
  </si>
  <si>
    <t>Joey Bada$$</t>
  </si>
  <si>
    <t>Lazy Afternoon</t>
  </si>
  <si>
    <t>Rebelution</t>
  </si>
  <si>
    <t>Cute without the E</t>
  </si>
  <si>
    <t>Taking Back Sunday</t>
  </si>
  <si>
    <t>Joy</t>
  </si>
  <si>
    <t>Apollo 100</t>
  </si>
  <si>
    <t>robbery</t>
  </si>
  <si>
    <t>SOLOMON</t>
  </si>
  <si>
    <t>Image</t>
  </si>
  <si>
    <t xml:space="preserve"> Magdalena Bay</t>
  </si>
  <si>
    <t>father</t>
  </si>
  <si>
    <t>Jim Legxacy</t>
  </si>
  <si>
    <t>Oh Girl</t>
  </si>
  <si>
    <t>The Chi-Lites</t>
  </si>
  <si>
    <t>Sh-Boom</t>
  </si>
  <si>
    <t>The Chords</t>
  </si>
  <si>
    <t xml:space="preserve">Guilty Conscience </t>
  </si>
  <si>
    <t>070 Shake</t>
  </si>
  <si>
    <t>Dirty Laundry</t>
  </si>
  <si>
    <t>Don Henley</t>
  </si>
  <si>
    <t>cloud 11</t>
  </si>
  <si>
    <t>thủy</t>
  </si>
  <si>
    <t>TULUM</t>
  </si>
  <si>
    <t>Peso Pluma, Grupo Frontera</t>
  </si>
  <si>
    <t>No Problems</t>
  </si>
  <si>
    <t>Ginger Root</t>
  </si>
  <si>
    <t>Feet Don't Fail Me Now</t>
  </si>
  <si>
    <t>Joy Crookes</t>
  </si>
  <si>
    <t>RATATATA</t>
  </si>
  <si>
    <t>BABYMETAL, Electric Callboy</t>
  </si>
  <si>
    <t>Cold Cold Cold</t>
  </si>
  <si>
    <t xml:space="preserve">Cage The Elephant </t>
  </si>
  <si>
    <t>Don't Let It Bring You Down</t>
  </si>
  <si>
    <t>Neil Young</t>
  </si>
  <si>
    <t>GUMMY</t>
  </si>
  <si>
    <t>BROCKHAMPTON</t>
  </si>
  <si>
    <t>Ninja</t>
  </si>
  <si>
    <t>Young Thug</t>
  </si>
  <si>
    <t>BLOW IT DOWN!</t>
  </si>
  <si>
    <t>JELEEL!</t>
  </si>
  <si>
    <t>Baby I'm Yours</t>
  </si>
  <si>
    <t>Breakbot, Irfane</t>
  </si>
  <si>
    <t>Video Killed The Radio Star</t>
  </si>
  <si>
    <t>The Buggles</t>
  </si>
  <si>
    <t>Worlds away</t>
  </si>
  <si>
    <t>Dabin</t>
  </si>
  <si>
    <t>The Book Lovers</t>
  </si>
  <si>
    <t>Broadcast</t>
  </si>
  <si>
    <t>January</t>
  </si>
  <si>
    <t>Seeding</t>
  </si>
  <si>
    <t>Song</t>
  </si>
  <si>
    <t>Description</t>
  </si>
  <si>
    <t>L</t>
  </si>
  <si>
    <t>P</t>
  </si>
  <si>
    <t>G</t>
  </si>
  <si>
    <t>R</t>
  </si>
  <si>
    <t>T</t>
  </si>
  <si>
    <t>F</t>
  </si>
  <si>
    <t>Song 1</t>
  </si>
  <si>
    <t>Score 1</t>
  </si>
  <si>
    <t>Score 2</t>
  </si>
  <si>
    <t>Song 2</t>
  </si>
  <si>
    <t>Seed 1 vs 2</t>
  </si>
  <si>
    <t>x</t>
  </si>
  <si>
    <t>X</t>
  </si>
  <si>
    <t>FEELING LUCKY</t>
  </si>
  <si>
    <t>berryblue</t>
  </si>
  <si>
    <t>Seed 2 vs 3</t>
  </si>
  <si>
    <t>#TinkerGate</t>
  </si>
  <si>
    <t>LACONE</t>
  </si>
  <si>
    <t>Polima Westcoast, Quevedo, Mora</t>
  </si>
  <si>
    <t>Seed 1 vs 4</t>
  </si>
  <si>
    <t>Seed 4 vs 5</t>
  </si>
  <si>
    <t>BRUISED</t>
  </si>
  <si>
    <t>sign crushes motorist, KayCyy</t>
  </si>
  <si>
    <t>Seed 3 vs 6</t>
  </si>
  <si>
    <t>Seed 2 vs 7</t>
  </si>
  <si>
    <t>Feel It</t>
  </si>
  <si>
    <t>Me and Your Mama</t>
  </si>
  <si>
    <t>Childish Gambino</t>
  </si>
  <si>
    <t>Seed 1 vs 8</t>
  </si>
  <si>
    <t>Please Be Rude</t>
  </si>
  <si>
    <t>Seed 8 vs 9</t>
  </si>
  <si>
    <t>How to Get By</t>
  </si>
  <si>
    <t>Demons</t>
  </si>
  <si>
    <t>Seed 7 vs 10</t>
  </si>
  <si>
    <t>So Cold</t>
  </si>
  <si>
    <t>Ankles</t>
  </si>
  <si>
    <t>Lucy Dacus</t>
  </si>
  <si>
    <t>COQUETA</t>
  </si>
  <si>
    <t>September</t>
  </si>
  <si>
    <t>Seed 6 vs 11</t>
  </si>
  <si>
    <t>The Difference</t>
  </si>
  <si>
    <t>Add Up My Love</t>
  </si>
  <si>
    <t>J</t>
  </si>
  <si>
    <t>Seed 5 vs 12</t>
  </si>
  <si>
    <t>Stranger Than</t>
  </si>
  <si>
    <t>BELLAKEO</t>
  </si>
  <si>
    <t>Pasadena</t>
  </si>
  <si>
    <t>Young Mister</t>
  </si>
  <si>
    <t>Seed 4 vs 13</t>
  </si>
  <si>
    <t>keep it in the dark</t>
  </si>
  <si>
    <t>February</t>
  </si>
  <si>
    <t>Animals</t>
  </si>
  <si>
    <t>Talking Heads</t>
  </si>
  <si>
    <t>Life 2</t>
  </si>
  <si>
    <t>Majid Jordan</t>
  </si>
  <si>
    <t>DREAMING</t>
  </si>
  <si>
    <t>A Couple Minutes</t>
  </si>
  <si>
    <t>We Come Running</t>
  </si>
  <si>
    <t>Youngblood Hawke</t>
  </si>
  <si>
    <t>Soup</t>
  </si>
  <si>
    <t>Mutt</t>
  </si>
  <si>
    <t>NOURISH A THUG</t>
  </si>
  <si>
    <t>Action Bronson</t>
  </si>
  <si>
    <t>I Wish</t>
  </si>
  <si>
    <t>Masterpiece</t>
  </si>
  <si>
    <t>Skin &amp; Bones</t>
  </si>
  <si>
    <t>You And Me</t>
  </si>
  <si>
    <t>Attack! Attack!</t>
  </si>
  <si>
    <t>Disco Man</t>
  </si>
  <si>
    <t>October</t>
  </si>
  <si>
    <t>COMO CAPO</t>
  </si>
  <si>
    <t>Time Warp</t>
  </si>
  <si>
    <t>Little Nell, Patricia Quinn, Richard O'Brian</t>
  </si>
  <si>
    <t>Cocoon</t>
  </si>
  <si>
    <t>March</t>
  </si>
  <si>
    <t>Killing my love</t>
  </si>
  <si>
    <t>Leslie Parrish</t>
  </si>
  <si>
    <t>Haunted</t>
  </si>
  <si>
    <t>Poe</t>
  </si>
  <si>
    <t>The Scythe</t>
  </si>
  <si>
    <t>GOOD BAD UGLY</t>
  </si>
  <si>
    <t>Catch Me Outside 2</t>
  </si>
  <si>
    <t>Ash</t>
  </si>
  <si>
    <t xml:space="preserve">LE SSERAFIM </t>
  </si>
  <si>
    <t>We The People…</t>
  </si>
  <si>
    <t>Too Bad I Have to Destroy You Now</t>
  </si>
  <si>
    <t>Black butterflies and Déjà vu</t>
  </si>
  <si>
    <r>
      <rPr>
        <rFont val="Calibri"/>
        <b/>
        <color theme="1"/>
        <sz val="11.0"/>
      </rPr>
      <t xml:space="preserve">Theme: </t>
    </r>
    <r>
      <rPr>
        <rFont val="Calibri"/>
        <b val="0"/>
        <color theme="1"/>
        <sz val="11.0"/>
      </rPr>
      <t>Bechdel Test</t>
    </r>
  </si>
  <si>
    <t>Seed 3 vs 14</t>
  </si>
  <si>
    <t>Hell of a Night</t>
  </si>
  <si>
    <t>The Good Life</t>
  </si>
  <si>
    <t>Cross Your Mind</t>
  </si>
  <si>
    <t>Shelly</t>
  </si>
  <si>
    <t>No Simulation</t>
  </si>
  <si>
    <t>By and By</t>
  </si>
  <si>
    <t>BAILE INoLVIDABLE</t>
  </si>
  <si>
    <t>Ghost Town</t>
  </si>
  <si>
    <t>November</t>
  </si>
  <si>
    <t>Best Part</t>
  </si>
  <si>
    <t>Neverender</t>
  </si>
  <si>
    <t>Justice &amp; Tame Impala</t>
  </si>
  <si>
    <t>Caroline</t>
  </si>
  <si>
    <t>Baby Rose, Mereba, BADBADNOTGOOD</t>
  </si>
  <si>
    <t>Shiva</t>
  </si>
  <si>
    <t>Anna Sun</t>
  </si>
  <si>
    <t>Okayyy We Back</t>
  </si>
  <si>
    <t>Seasons (Waiting on You)</t>
  </si>
  <si>
    <t>in the pool</t>
  </si>
  <si>
    <t>kensuke ushio</t>
  </si>
  <si>
    <t>Clockwork</t>
  </si>
  <si>
    <t>Chains &amp; Whips</t>
  </si>
  <si>
    <t>Clipse, Kendrick Lamar, Pharrell, Pusha T</t>
  </si>
  <si>
    <t>t.A.T.u</t>
  </si>
  <si>
    <t>Brick by boring Brick</t>
  </si>
  <si>
    <t>Paramore</t>
  </si>
  <si>
    <t>Yellow</t>
  </si>
  <si>
    <t>Layaway Luv</t>
  </si>
  <si>
    <t>Samurai</t>
  </si>
  <si>
    <t>Lupe Fiasco</t>
  </si>
  <si>
    <t>Silver Springs</t>
  </si>
  <si>
    <t>Megan Thee Stallion</t>
  </si>
  <si>
    <t>Metaverse</t>
  </si>
  <si>
    <t>Houston</t>
  </si>
  <si>
    <t>Jean Dawson</t>
  </si>
  <si>
    <t>April</t>
  </si>
  <si>
    <t>Still Woman Enough (feat. Reba McEntire &amp; Carrie Underwood</t>
  </si>
  <si>
    <t>Loretta Lynn, Reba McEntire, Carrie Underwood</t>
  </si>
  <si>
    <t>Cops &amp; Robbers</t>
  </si>
  <si>
    <t>Sammy Virji, Skepta</t>
  </si>
  <si>
    <t>High No More</t>
  </si>
  <si>
    <t>Hajaj</t>
  </si>
  <si>
    <t>That's You</t>
  </si>
  <si>
    <t>Lucky Daye</t>
  </si>
  <si>
    <t xml:space="preserve">Drag my body </t>
  </si>
  <si>
    <t>Hot water music</t>
  </si>
  <si>
    <t>Hospital</t>
  </si>
  <si>
    <t>Madison Cunningham, Remi Wolf</t>
  </si>
  <si>
    <t>The Roots, Cody Chestnutt</t>
  </si>
  <si>
    <t>December</t>
  </si>
  <si>
    <t>Pink Roses</t>
  </si>
  <si>
    <t>Say She She</t>
  </si>
  <si>
    <t>ADD</t>
  </si>
  <si>
    <t>Khantrast</t>
  </si>
  <si>
    <t>Chills</t>
  </si>
  <si>
    <t>Dave East</t>
  </si>
  <si>
    <t>Digital Love</t>
  </si>
  <si>
    <t>One Wish</t>
  </si>
  <si>
    <t>Ravyn Lenae, Childish Gambino</t>
  </si>
  <si>
    <t>Mystery Lady</t>
  </si>
  <si>
    <t>Don't kill the party</t>
  </si>
  <si>
    <t>La Perla</t>
  </si>
  <si>
    <t>Cheesin'</t>
  </si>
  <si>
    <t>Levels</t>
  </si>
  <si>
    <t>BigXthaPlug</t>
  </si>
  <si>
    <t>drive ME crazy!</t>
  </si>
  <si>
    <t>96 Quite Bitter Beings</t>
  </si>
  <si>
    <t>Clover</t>
  </si>
  <si>
    <t>Give Up</t>
  </si>
  <si>
    <t>Soap</t>
  </si>
  <si>
    <t>3AM in ToKEYo</t>
  </si>
  <si>
    <t>The Last Dinner Party</t>
  </si>
  <si>
    <t>Up and Go</t>
  </si>
  <si>
    <t xml:space="preserve">Astrovan </t>
  </si>
  <si>
    <t xml:space="preserve">Mt Joy </t>
  </si>
  <si>
    <t>S1</t>
  </si>
  <si>
    <t>S2</t>
  </si>
  <si>
    <t>Don't Worry About the Government</t>
  </si>
  <si>
    <t>May</t>
  </si>
  <si>
    <t>Flyers</t>
  </si>
  <si>
    <t>BRADIO</t>
  </si>
  <si>
    <t xml:space="preserve">NO ME QUIERO CASAR </t>
  </si>
  <si>
    <t>Bad Bunny</t>
  </si>
  <si>
    <t xml:space="preserve">Seed 4 vs 5 </t>
  </si>
  <si>
    <t>You a Joke</t>
  </si>
  <si>
    <t>BIGBABYGUCCI</t>
  </si>
  <si>
    <t>Seed 1 vs 16</t>
  </si>
  <si>
    <t>Determinate</t>
  </si>
  <si>
    <t>Lemonade Mouth</t>
  </si>
  <si>
    <t>Seed 2 vs 15</t>
  </si>
  <si>
    <t>Caamp</t>
  </si>
  <si>
    <t>Victory Lap</t>
  </si>
  <si>
    <t>Fred Again, Skepta</t>
  </si>
  <si>
    <t>June</t>
  </si>
  <si>
    <t>Goliath</t>
  </si>
  <si>
    <t>Woodkid</t>
  </si>
  <si>
    <t>Seed 1 vs 32</t>
  </si>
  <si>
    <t>Seed 2 vs 31</t>
  </si>
  <si>
    <t>Seed 3 vs 30</t>
  </si>
  <si>
    <t>In The Morning</t>
  </si>
  <si>
    <t>Jay Prince</t>
  </si>
  <si>
    <t>Seed 4 vs 29</t>
  </si>
  <si>
    <t>Seed 5 vs 28</t>
  </si>
  <si>
    <t>Seed 6 vs 27</t>
  </si>
  <si>
    <t>Top(Remix)</t>
  </si>
  <si>
    <t>Fredo Bang, Lil Durk</t>
  </si>
  <si>
    <t>Seed 7 vs 26</t>
  </si>
  <si>
    <t>Seed 8 vs 25</t>
  </si>
  <si>
    <t>MARCH AM</t>
  </si>
  <si>
    <t>Rema</t>
  </si>
  <si>
    <t>Seed 9 vs 24</t>
  </si>
  <si>
    <t>Seed 10 vs 23</t>
  </si>
  <si>
    <t>Sweetest Girl (Dollar Bill)</t>
  </si>
  <si>
    <t>Wyclef Jean, Akon, Lil Wayne, Niia</t>
  </si>
  <si>
    <t>Seed 11 vs 22</t>
  </si>
  <si>
    <t>Seed 12 vs 21</t>
  </si>
  <si>
    <t>Seed 13 vs 20</t>
  </si>
  <si>
    <t>July</t>
  </si>
  <si>
    <t>The Choice Is Yours (Revisited)</t>
  </si>
  <si>
    <t>Black Sheep</t>
  </si>
  <si>
    <t>Seed 14 vs 19</t>
  </si>
  <si>
    <t>Seed 16 vs 17</t>
  </si>
  <si>
    <t>The Maine</t>
  </si>
  <si>
    <t>Seed 15 vs 18</t>
  </si>
  <si>
    <t>Seed 32 vs 33</t>
  </si>
  <si>
    <t>Hot Chip</t>
  </si>
  <si>
    <t>Seed 31 vs 34</t>
  </si>
  <si>
    <t>Seed 30 vs 35</t>
  </si>
  <si>
    <t>Seed 29 vs 36</t>
  </si>
  <si>
    <t>Seed 28 vs 37</t>
  </si>
  <si>
    <t>The Number You Have Dialed Is Not in Service</t>
  </si>
  <si>
    <t>$uicideboy$</t>
  </si>
  <si>
    <t>Seed 27 vs 38</t>
  </si>
  <si>
    <t>Seed 26 vs 39</t>
  </si>
  <si>
    <t>Seed 25 vs 40</t>
  </si>
  <si>
    <t>Desenfocao'</t>
  </si>
  <si>
    <t>Rauw Alejandro</t>
  </si>
  <si>
    <t>Seed 24 vs 41</t>
  </si>
  <si>
    <t>Seed 23 vs 42</t>
  </si>
  <si>
    <t>Make a Change - Live from Bloomington</t>
  </si>
  <si>
    <t>Durand Jones &amp; The Indications</t>
  </si>
  <si>
    <t>Seed 22 vs 43</t>
  </si>
  <si>
    <t>Seed 21 vs 44</t>
  </si>
  <si>
    <t>ScHoolboy Q</t>
  </si>
  <si>
    <t>Seed 20 vs 45</t>
  </si>
  <si>
    <t>Seed 19 vs 46</t>
  </si>
  <si>
    <t>August</t>
  </si>
  <si>
    <t>Seed 18 vs 47</t>
  </si>
  <si>
    <t>Post Sex Clarity</t>
  </si>
  <si>
    <t>Lola Young</t>
  </si>
  <si>
    <t>Seed 17 vs 48</t>
  </si>
  <si>
    <t>Seed 16 vs 49</t>
  </si>
  <si>
    <t>Seed 15 vs 50</t>
  </si>
  <si>
    <t>Gettin' hott</t>
  </si>
  <si>
    <t>Knock2</t>
  </si>
  <si>
    <t>How Can I be Sure</t>
  </si>
  <si>
    <t>Anomie Belle</t>
  </si>
  <si>
    <t>Granite</t>
  </si>
  <si>
    <t>Sleep Token</t>
  </si>
  <si>
    <t>Angel</t>
  </si>
  <si>
    <t>NewDad</t>
  </si>
  <si>
    <t>Trenches</t>
  </si>
  <si>
    <t>Maruja</t>
  </si>
  <si>
    <t>Ski Mask The Slump God</t>
  </si>
  <si>
    <t>Maggie May</t>
  </si>
  <si>
    <t>The Pietasters</t>
  </si>
  <si>
    <t>Waterboyz</t>
  </si>
  <si>
    <t>EARTHGANG, JID, J Cole</t>
  </si>
  <si>
    <t>Teardrop Windows</t>
  </si>
  <si>
    <t>Benjamin Gibbard</t>
  </si>
  <si>
    <t>Theme of Sand Ruins</t>
  </si>
  <si>
    <t>SEGA SOUND TEAM (Sonic Riders)</t>
  </si>
  <si>
    <r>
      <rPr>
        <rFont val="Calibri"/>
        <b/>
        <color theme="1"/>
        <sz val="11.0"/>
      </rPr>
      <t xml:space="preserve">Theme: </t>
    </r>
    <r>
      <rPr>
        <rFont val="Calibri"/>
        <b val="0"/>
        <color theme="1"/>
        <sz val="11.0"/>
      </rPr>
      <t>Video Game OST</t>
    </r>
  </si>
  <si>
    <t>D'Angelo (Red Dead Redemption 2)</t>
  </si>
  <si>
    <t>Video Games</t>
  </si>
  <si>
    <t>ShittyBoyz (GTA, Donkey Kong, Luigis Mansion, Rachet and Clank, Def Jam Vendetta)</t>
  </si>
  <si>
    <t>Une vie à Peindre</t>
  </si>
  <si>
    <t>Whole bunch of French People (E33)</t>
  </si>
  <si>
    <t>Becalmed</t>
  </si>
  <si>
    <t>Sea of Thieves (Sea of Thieves)</t>
  </si>
  <si>
    <t>Corridors of Time</t>
  </si>
  <si>
    <t>Yasunori Mitsuda (Chrono Trigger)</t>
  </si>
  <si>
    <t>Dark Ocean Summoning</t>
  </si>
  <si>
    <t>Old Gods of Asgard (Alan Wake 2)</t>
  </si>
  <si>
    <t>Everything Goes On</t>
  </si>
  <si>
    <t>Porter Robinson, League of Legends</t>
  </si>
  <si>
    <t>Por esos ojos</t>
  </si>
  <si>
    <t>Fuerza Regida</t>
  </si>
  <si>
    <t>All The Way To Memphis</t>
  </si>
  <si>
    <t>Mason Ramsey</t>
  </si>
  <si>
    <t>Three Days Grace</t>
  </si>
  <si>
    <t>Year 3000</t>
  </si>
  <si>
    <t>Jonas Brothers</t>
  </si>
  <si>
    <t>Nickel</t>
  </si>
  <si>
    <t>Flipturn</t>
  </si>
  <si>
    <t>Let You Down</t>
  </si>
  <si>
    <t>Dawid Podsiadło</t>
  </si>
  <si>
    <t>Really good cry</t>
  </si>
  <si>
    <t>BETWEEN FRIENDS</t>
  </si>
  <si>
    <t>Bodega</t>
  </si>
  <si>
    <t>Mir Fontane</t>
  </si>
  <si>
    <t>R&amp;B</t>
  </si>
  <si>
    <t>MIKE, Tony Seltzer</t>
  </si>
  <si>
    <t>Medication</t>
  </si>
  <si>
    <t>Damian Marley, Stephen Marley</t>
  </si>
  <si>
    <t>SugarCrash!</t>
  </si>
  <si>
    <t>ElyOtto</t>
  </si>
  <si>
    <t>If it means a lot to you</t>
  </si>
  <si>
    <t>A day to remember</t>
  </si>
  <si>
    <t>A Tribe Called Quest</t>
  </si>
  <si>
    <t>PIXELATED KISSES</t>
  </si>
  <si>
    <t xml:space="preserve">Joji </t>
  </si>
  <si>
    <t>Wassup</t>
  </si>
  <si>
    <t>Young Miko</t>
  </si>
  <si>
    <t>Dewdrop Signal</t>
  </si>
  <si>
    <t>Iglooghost</t>
  </si>
  <si>
    <t>Kanye West, PARTYNEXTDOOR</t>
  </si>
  <si>
    <t>Sinking Ship</t>
  </si>
  <si>
    <t>Backseat Lovers</t>
  </si>
  <si>
    <t xml:space="preserve">The Green Superintendent </t>
  </si>
  <si>
    <t>Mako Road</t>
  </si>
  <si>
    <t>Fallen Angel feat Aimee B</t>
  </si>
  <si>
    <t>Mitsunori Ikeda, Aimee B (P&amp;SwG)</t>
  </si>
  <si>
    <t>Never Ask</t>
  </si>
  <si>
    <t>Shayhan</t>
  </si>
  <si>
    <t>Giving My Life</t>
  </si>
  <si>
    <t>I-Exist</t>
  </si>
  <si>
    <t>GIVEON</t>
  </si>
  <si>
    <t>Adam's Song</t>
  </si>
  <si>
    <t>blink-182</t>
  </si>
  <si>
    <t>Wide Open Spaces</t>
  </si>
  <si>
    <t>The Chicks</t>
  </si>
  <si>
    <t>Freightliner</t>
  </si>
  <si>
    <t>Hot Water Music</t>
  </si>
  <si>
    <t>This Cocaine Makes Me Feel Like I'm On This Song</t>
  </si>
  <si>
    <t>System of a Down</t>
  </si>
  <si>
    <t>PURPLE TUESDAY</t>
  </si>
  <si>
    <t>Rejjie Snow, Joey Bada$$, Jesse Boykin III</t>
  </si>
  <si>
    <t>Sleepytime Fantasy</t>
  </si>
  <si>
    <t>Joywave</t>
  </si>
  <si>
    <t>St. Chroma</t>
  </si>
  <si>
    <t>Tyler, The Creator, Daniel Caesar</t>
  </si>
  <si>
    <t>DRUGS</t>
  </si>
  <si>
    <t>Tai Verdes</t>
  </si>
  <si>
    <t>Blast Off</t>
  </si>
  <si>
    <t>Gesaffelstein</t>
  </si>
  <si>
    <t>cut! (feat. Julia Michaels)</t>
  </si>
  <si>
    <t>Maren Morris, Julia Michaels</t>
  </si>
  <si>
    <t>Bitmaster</t>
  </si>
  <si>
    <r>
      <rPr>
        <rFont val="Calibri"/>
        <b/>
        <color theme="1"/>
        <sz val="11.0"/>
      </rPr>
      <t xml:space="preserve">Theme: </t>
    </r>
    <r>
      <rPr>
        <rFont val="Calibri"/>
        <b val="0"/>
        <color theme="1"/>
        <sz val="11.0"/>
      </rPr>
      <t>Spooky/Scary Songs</t>
    </r>
  </si>
  <si>
    <t>Draculas Wedding</t>
  </si>
  <si>
    <t>Outkast,Kelis</t>
  </si>
  <si>
    <t>Nightmare On Yo Street</t>
  </si>
  <si>
    <t>BabyTron</t>
  </si>
  <si>
    <t>Little Dark Age</t>
  </si>
  <si>
    <t>MGMT</t>
  </si>
  <si>
    <t>Bad Things</t>
  </si>
  <si>
    <t>Cults</t>
  </si>
  <si>
    <t>CAN YOU SEE ME?</t>
  </si>
  <si>
    <t>Rezz</t>
  </si>
  <si>
    <t>Terror in the Depths of the Fog</t>
  </si>
  <si>
    <t>Akira Yamaoka (SH2)</t>
  </si>
  <si>
    <t>Psychic Attack</t>
  </si>
  <si>
    <t>Machine Girl</t>
  </si>
  <si>
    <t>VENTE CONMIGO</t>
  </si>
  <si>
    <t xml:space="preserve">Feid </t>
  </si>
  <si>
    <t>Crowded Roomz</t>
  </si>
  <si>
    <t>Nia Archives</t>
  </si>
  <si>
    <t>Pretty Little Fears</t>
  </si>
  <si>
    <t>6lack, J. Cole</t>
  </si>
  <si>
    <t>White</t>
  </si>
  <si>
    <t>The 502s</t>
  </si>
  <si>
    <t>We Care A Lot</t>
  </si>
  <si>
    <t>Faith No More</t>
  </si>
  <si>
    <t>Pudgy</t>
  </si>
  <si>
    <t xml:space="preserve">Smino, Lil Uzi Vert </t>
  </si>
  <si>
    <t>Vanished</t>
  </si>
  <si>
    <t>Crystal Castles</t>
  </si>
  <si>
    <t>Black &amp; Tan</t>
  </si>
  <si>
    <t>YT, Lancey Foux</t>
  </si>
  <si>
    <t>This fffire - New Version</t>
  </si>
  <si>
    <t>Franz Ferdinand</t>
  </si>
  <si>
    <t xml:space="preserve">Do you mean - myon remix </t>
  </si>
  <si>
    <t>Chainsmokers, ty$, others</t>
  </si>
  <si>
    <t>What Planet is This?!</t>
  </si>
  <si>
    <t>SEATBELTS</t>
  </si>
  <si>
    <t>Sugar Water Cyanide</t>
  </si>
  <si>
    <t>Rebecca Black</t>
  </si>
  <si>
    <t>Asshole</t>
  </si>
  <si>
    <t>Mike Sherm</t>
  </si>
  <si>
    <t>Suzanne</t>
  </si>
  <si>
    <t>Mark Ronson, RAYE</t>
  </si>
  <si>
    <t>Alright - 2015 Remaster</t>
  </si>
  <si>
    <t>Supergrass</t>
  </si>
  <si>
    <t>Infohazard</t>
  </si>
  <si>
    <t>Ninajarachi</t>
  </si>
  <si>
    <t>A Clean Break</t>
  </si>
  <si>
    <t>Binary Garden</t>
  </si>
  <si>
    <t>TURQUOISEDEATH</t>
  </si>
  <si>
    <t xml:space="preserve">Your Betrayal </t>
  </si>
  <si>
    <t>Bullet for My Valentine</t>
  </si>
  <si>
    <t>Sweet Danger</t>
  </si>
  <si>
    <t>Obongjayar</t>
  </si>
  <si>
    <t>The Girl Is Mine</t>
  </si>
  <si>
    <t>Michael Jackson, Paul McCartney</t>
  </si>
  <si>
    <t>Jack &amp; Diane</t>
  </si>
  <si>
    <t>John Mellencamp</t>
  </si>
  <si>
    <t>Theme of Laura</t>
  </si>
  <si>
    <t>Cafuné (butter version)</t>
  </si>
  <si>
    <t>Sofi Tukker, Channel Tres</t>
  </si>
  <si>
    <t>Flows</t>
  </si>
  <si>
    <t>Sheff G, Sleepy Hallow</t>
  </si>
  <si>
    <t>Divine Sorrow</t>
  </si>
  <si>
    <t>Wyclef Jean, Avicii</t>
  </si>
  <si>
    <t>The Distance</t>
  </si>
  <si>
    <t>CAKE</t>
  </si>
  <si>
    <t>Ghost Voices</t>
  </si>
  <si>
    <t>Virtual Self</t>
  </si>
  <si>
    <t>Driver 8</t>
  </si>
  <si>
    <t>R.E.M</t>
  </si>
  <si>
    <r>
      <rPr>
        <rFont val="Calibri"/>
        <b/>
        <color theme="1"/>
        <sz val="11.0"/>
      </rPr>
      <t xml:space="preserve">Theme: </t>
    </r>
    <r>
      <rPr>
        <rFont val="Calibri"/>
        <b val="0"/>
        <color theme="1"/>
        <sz val="11.0"/>
      </rPr>
      <t>Haters</t>
    </r>
  </si>
  <si>
    <t>I Hope</t>
  </si>
  <si>
    <t xml:space="preserve"> Jay Lewis, Gorilla Mode Dezz, Mista Cain</t>
  </si>
  <si>
    <t>Ex</t>
  </si>
  <si>
    <t>Praying</t>
  </si>
  <si>
    <t>Kesha</t>
  </si>
  <si>
    <t>Hollaback Girl</t>
  </si>
  <si>
    <t>Gwen Stefani</t>
  </si>
  <si>
    <t>achy breaky song</t>
  </si>
  <si>
    <t>weird al</t>
  </si>
  <si>
    <t>Who Shot Ya?</t>
  </si>
  <si>
    <t>Notorious B.I.G</t>
  </si>
  <si>
    <t>Heavenly</t>
  </si>
  <si>
    <t>Judeline, Rusowsky</t>
  </si>
  <si>
    <t>Lotion</t>
  </si>
  <si>
    <t>TiaCorine, Flo Milli</t>
  </si>
  <si>
    <t>I Know There's Gonna Be (Good Times)</t>
  </si>
  <si>
    <t>Jamie xx, Young Thug, Popcaan</t>
  </si>
  <si>
    <t>Home Again</t>
  </si>
  <si>
    <t>Park Lane, LaKesha Nugent</t>
  </si>
  <si>
    <t>"45"</t>
  </si>
  <si>
    <t>The Gaslight Anthem</t>
  </si>
  <si>
    <t>Twisterella</t>
  </si>
  <si>
    <t>Ride</t>
  </si>
  <si>
    <t>Bleed</t>
  </si>
  <si>
    <t xml:space="preserve">Malcolm Todd, Omar Apollo </t>
  </si>
  <si>
    <t>Rottweiler</t>
  </si>
  <si>
    <t>EsDeeKid</t>
  </si>
  <si>
    <t>Brown Sugar</t>
  </si>
  <si>
    <t>redveil, Smino</t>
  </si>
  <si>
    <t>16 Years</t>
  </si>
  <si>
    <t>The Griswolds</t>
  </si>
  <si>
    <t>Killed for Sport</t>
  </si>
  <si>
    <t>Baby Nova</t>
  </si>
  <si>
    <t>Chariot I Plead</t>
  </si>
  <si>
    <t>Silent Poets, Tim Smith</t>
  </si>
  <si>
    <t>Welcome to the Circus</t>
  </si>
  <si>
    <t>Five Finger Death Punch</t>
  </si>
  <si>
    <t>Kokomo,IN</t>
  </si>
  <si>
    <t>Japanese Breakfast</t>
  </si>
  <si>
    <t>Gold</t>
  </si>
  <si>
    <t>Blu, Exile, Nana, Ahmad Anwar</t>
  </si>
  <si>
    <t>Touch My Body</t>
  </si>
  <si>
    <t>Mariah Carey</t>
  </si>
  <si>
    <t>All my best friends are metalheads</t>
  </si>
  <si>
    <t>Less Than Jake</t>
  </si>
  <si>
    <t>Absentee</t>
  </si>
  <si>
    <t>Cass McCombs</t>
  </si>
  <si>
    <t>Bossa No Se (feat. Jean Carter)</t>
  </si>
  <si>
    <t>Cuco, Jean Carter</t>
  </si>
  <si>
    <t>LAGUNAS</t>
  </si>
  <si>
    <t>Peso Pluma, Jasiel Nunez</t>
  </si>
  <si>
    <t>One More Light</t>
  </si>
  <si>
    <t>Linkin Park</t>
  </si>
  <si>
    <t>we never dated</t>
  </si>
  <si>
    <t>sombr</t>
  </si>
  <si>
    <t xml:space="preserve">Blackout </t>
  </si>
  <si>
    <t>Turnstile</t>
  </si>
  <si>
    <t>Reckless</t>
  </si>
  <si>
    <t>m-flo, Adee A.</t>
  </si>
  <si>
    <t>GEEKIN</t>
  </si>
  <si>
    <t>DavidTheTragic, Kenny Mason</t>
  </si>
  <si>
    <t>MOVIE</t>
  </si>
  <si>
    <t>Rondodasosa,Nko,Central Cee</t>
  </si>
  <si>
    <t>Bow Down</t>
  </si>
  <si>
    <t>Geese</t>
  </si>
  <si>
    <t>bad vibes forever</t>
  </si>
  <si>
    <t>XXXTentacion, PnB Rock, Trippie Redd</t>
  </si>
  <si>
    <t>Television Love</t>
  </si>
  <si>
    <t>Of Monsters and Men</t>
  </si>
  <si>
    <t>The Great Pretender</t>
  </si>
  <si>
    <t>Freddie Mercury</t>
  </si>
  <si>
    <t>All Over</t>
  </si>
  <si>
    <t>CRUISR</t>
  </si>
  <si>
    <r>
      <rPr>
        <rFont val="Calibri"/>
        <b/>
        <color theme="1"/>
        <sz val="11.0"/>
      </rPr>
      <t xml:space="preserve">Theme: </t>
    </r>
    <r>
      <rPr>
        <rFont val="Calibri"/>
        <b val="0"/>
        <color theme="1"/>
        <sz val="11.0"/>
      </rPr>
      <t>Local</t>
    </r>
  </si>
  <si>
    <t>Holding On</t>
  </si>
  <si>
    <t>The War on Drugs</t>
  </si>
  <si>
    <t>4L</t>
  </si>
  <si>
    <t>Ghais Guevara</t>
  </si>
  <si>
    <t>On the Floor</t>
  </si>
  <si>
    <t>Wall Carpets</t>
  </si>
  <si>
    <t>Lean On Sheena</t>
  </si>
  <si>
    <t>The Bouncing Souls</t>
  </si>
  <si>
    <t>Lonely is the Muse</t>
  </si>
  <si>
    <t>Halsey</t>
  </si>
  <si>
    <t>Yves, PinkPantheress</t>
  </si>
  <si>
    <t>Brazil</t>
  </si>
  <si>
    <t>Simon Grossmann, Bebo Dumont</t>
  </si>
  <si>
    <t>Bird W/O Nest</t>
  </si>
  <si>
    <t>Alice Longyu Gao, Danny Brown</t>
  </si>
  <si>
    <t>The Largest</t>
  </si>
  <si>
    <t>Christmas In Hollis</t>
  </si>
  <si>
    <t>Run-D.M.C.</t>
  </si>
  <si>
    <t>She Lied to the FBI</t>
  </si>
  <si>
    <t>Alkaline Trio</t>
  </si>
  <si>
    <t>Les Fleurs</t>
  </si>
  <si>
    <t>Minnie Riperton</t>
  </si>
  <si>
    <t>Intention</t>
  </si>
  <si>
    <t xml:space="preserve">Hudson Mohawke </t>
  </si>
  <si>
    <t>Afterglow</t>
  </si>
  <si>
    <t>Luna Li</t>
  </si>
  <si>
    <t>I'm On</t>
  </si>
  <si>
    <t>Ovrkast.</t>
  </si>
  <si>
    <t>Feeling This</t>
  </si>
  <si>
    <t>Milk</t>
  </si>
  <si>
    <t>Jeffries Fan Club</t>
  </si>
  <si>
    <t>Daft Punk</t>
  </si>
  <si>
    <t>Falling Down</t>
  </si>
  <si>
    <t>Oasis</t>
  </si>
  <si>
    <t>Masego, Don Toliver</t>
  </si>
  <si>
    <t>PASAJERO</t>
  </si>
  <si>
    <t>Mora</t>
  </si>
  <si>
    <t>Te Mata</t>
  </si>
  <si>
    <t>Kali Uchis</t>
  </si>
  <si>
    <t>Follow the Drinking Gourd</t>
  </si>
  <si>
    <t>Richie Havens</t>
  </si>
  <si>
    <t>Sweat</t>
  </si>
  <si>
    <t>All American Rejects</t>
  </si>
  <si>
    <t>Wicked Games</t>
  </si>
  <si>
    <t>Kiana Lede</t>
  </si>
  <si>
    <t>The Lost Art of Keeping A Secret</t>
  </si>
  <si>
    <t>Queens of the Stone Age</t>
  </si>
  <si>
    <t>DNA</t>
  </si>
  <si>
    <t>Ghali</t>
  </si>
  <si>
    <t>Panama</t>
  </si>
  <si>
    <t>Sports</t>
  </si>
  <si>
    <t>SWITCH IT</t>
  </si>
  <si>
    <t>BNYX, Yeat, Zukenee</t>
  </si>
  <si>
    <t>Die On This Hill</t>
  </si>
  <si>
    <t>SIENNA SPIRO</t>
  </si>
  <si>
    <t>Skating</t>
  </si>
  <si>
    <t>Vince Guaraldi Trio</t>
  </si>
  <si>
    <t>IDK, Joey Valence &amp; Brae</t>
  </si>
  <si>
    <t>Pretty in Pink</t>
  </si>
  <si>
    <t>The Psychedelic Furs</t>
  </si>
  <si>
    <t>Papaoutai</t>
  </si>
  <si>
    <t>Stromae</t>
  </si>
  <si>
    <t>Young Miko: Bzrp Music Sessions, Vol. 58/66</t>
  </si>
  <si>
    <t>Bizarrap, Young Miko</t>
  </si>
  <si>
    <t>Only</t>
  </si>
  <si>
    <t>Sampha</t>
  </si>
  <si>
    <t>Hxns, Melanie Faye, Sophie Meiers, Claud, Cautious Clay, Still Woozy, Remi Wolf</t>
  </si>
  <si>
    <t>Another Way to Die</t>
  </si>
  <si>
    <t>Jack White, Alicia Keys</t>
  </si>
  <si>
    <t>All mixed up</t>
  </si>
  <si>
    <t>Ludens</t>
  </si>
  <si>
    <t>THE SUN</t>
  </si>
  <si>
    <t>KayCyy, Gesaffelstein</t>
  </si>
  <si>
    <r>
      <rPr>
        <rFont val="Calibri"/>
        <b/>
        <color theme="1"/>
        <sz val="11.0"/>
      </rPr>
      <t>Theme:</t>
    </r>
    <r>
      <rPr>
        <rFont val="Calibri"/>
        <color theme="1"/>
        <sz val="11.0"/>
      </rPr>
      <t xml:space="preserve"> XXL Freshman</t>
    </r>
  </si>
  <si>
    <t>The Thrill</t>
  </si>
  <si>
    <t>Wiz Khalifa, Empire Of The Sun</t>
  </si>
  <si>
    <t>Myspace</t>
  </si>
  <si>
    <t>Cordae, Anderson .Paak</t>
  </si>
  <si>
    <t>Molly</t>
  </si>
  <si>
    <t>Lil Dicky, Brendon Urie</t>
  </si>
  <si>
    <t>Two Matches</t>
  </si>
  <si>
    <t>Mac Miller, Ab-soul</t>
  </si>
  <si>
    <t>Best Thing in Town</t>
  </si>
  <si>
    <t>Green Day</t>
  </si>
  <si>
    <t xml:space="preserve">Untouchable </t>
  </si>
  <si>
    <t xml:space="preserve">Golemm </t>
  </si>
  <si>
    <t>Killa</t>
  </si>
  <si>
    <t>Young Pappy</t>
  </si>
  <si>
    <t>COME AND FIND YOU</t>
  </si>
  <si>
    <t>Sudan Archives</t>
  </si>
  <si>
    <t>CKY</t>
  </si>
  <si>
    <t>When Can We</t>
  </si>
  <si>
    <t>KYLE</t>
  </si>
  <si>
    <t>No cigar</t>
  </si>
  <si>
    <t xml:space="preserve">Millencolin </t>
  </si>
  <si>
    <t>To the Wilder</t>
  </si>
  <si>
    <t>Luv Away</t>
  </si>
  <si>
    <t xml:space="preserve">Qteku </t>
  </si>
  <si>
    <t>LALA</t>
  </si>
  <si>
    <t>Myke Towers</t>
  </si>
  <si>
    <t>Thug Club</t>
  </si>
  <si>
    <t>MadeinTYO</t>
  </si>
  <si>
    <t>Hide and Seek</t>
  </si>
  <si>
    <t>Imogen Heap</t>
  </si>
  <si>
    <t>Back To Me</t>
  </si>
  <si>
    <t>The Marías</t>
  </si>
  <si>
    <t>If I Lost You</t>
  </si>
  <si>
    <t>Armnhmr</t>
  </si>
  <si>
    <t>Low Roar</t>
  </si>
  <si>
    <t>\\\</t>
  </si>
  <si>
    <t>c678924</t>
  </si>
  <si>
    <t>Jake's last TTAC 7</t>
  </si>
  <si>
    <t>SCAPPA</t>
  </si>
  <si>
    <t>Tokyo,Kermit</t>
  </si>
  <si>
    <t>Flea</t>
  </si>
  <si>
    <t>St. Vincent</t>
  </si>
  <si>
    <t>花占い</t>
  </si>
  <si>
    <t>Vaundy</t>
  </si>
  <si>
    <t>Shot In The Dark</t>
  </si>
  <si>
    <t>The Format</t>
  </si>
  <si>
    <t>Ty dolla $ign, Quavo, Juicy J</t>
  </si>
  <si>
    <t>Meanwhile… In Genova</t>
  </si>
  <si>
    <t>The S.L.P.</t>
  </si>
  <si>
    <t>HOME</t>
  </si>
  <si>
    <t>Mike Dimes</t>
  </si>
  <si>
    <t>VIP</t>
  </si>
  <si>
    <t>Strandz</t>
  </si>
  <si>
    <t>Key Glock</t>
  </si>
  <si>
    <t>Cheerleader</t>
  </si>
  <si>
    <t>Porter Robinson</t>
  </si>
  <si>
    <t>When I Die, Just Let Me Go To Texas</t>
  </si>
  <si>
    <t>Ed Bruce</t>
  </si>
  <si>
    <t>Keep On Growing</t>
  </si>
  <si>
    <t>Derek &amp; The Dominos</t>
  </si>
  <si>
    <t>That's All</t>
  </si>
  <si>
    <t>Genesis</t>
  </si>
  <si>
    <t>Naughty or Nice</t>
  </si>
  <si>
    <t>FIFTYFIFTY</t>
  </si>
  <si>
    <r>
      <rPr>
        <rFont val="Calibri"/>
        <b/>
        <color theme="1"/>
        <sz val="11.0"/>
      </rPr>
      <t xml:space="preserve">Theme: </t>
    </r>
    <r>
      <rPr>
        <rFont val="Calibri"/>
        <color theme="1"/>
        <sz val="11.0"/>
      </rPr>
      <t>Christmas / Holiday Song</t>
    </r>
  </si>
  <si>
    <t>SANTA FREESTYLE</t>
  </si>
  <si>
    <t>THIZZY52</t>
  </si>
  <si>
    <t>One beautiful WHITE Christmas</t>
  </si>
  <si>
    <t>RXKNephew, NARCOWAVE</t>
  </si>
  <si>
    <t>Riff Raff</t>
  </si>
  <si>
    <t>Carol Of The Beers</t>
  </si>
  <si>
    <t>Reel Big Fish</t>
  </si>
  <si>
    <t>Santa Diss Track</t>
  </si>
  <si>
    <t>Logan Paul</t>
  </si>
  <si>
    <t>Deck My Balls</t>
  </si>
  <si>
    <t>Afroman</t>
  </si>
  <si>
    <t>Troublemaker</t>
  </si>
  <si>
    <t>Black Pontiac</t>
  </si>
  <si>
    <t>Lil Yachty, Diana Gordon</t>
  </si>
  <si>
    <t>YUNG SHERMAN</t>
  </si>
  <si>
    <t>Bladee, Yung Sherman</t>
  </si>
  <si>
    <t>HONEST</t>
  </si>
  <si>
    <t>Baby Keem</t>
  </si>
  <si>
    <t>YKTV (feat. A Boogie Wit da Hoodie)</t>
  </si>
  <si>
    <t>Nas, A Boogie Wit da Hoodie</t>
  </si>
  <si>
    <t>Either on or off the drugs</t>
  </si>
  <si>
    <t>Jpegmaffia</t>
  </si>
  <si>
    <t>It Feels Like Christmas</t>
  </si>
  <si>
    <t>Ghost of Christmas Present</t>
  </si>
  <si>
    <t>prequel</t>
  </si>
  <si>
    <t>Tabby</t>
  </si>
  <si>
    <t>Jake Era Ends</t>
  </si>
  <si>
    <t>mi refe</t>
  </si>
  <si>
    <t>Beéle</t>
  </si>
  <si>
    <t>Doormat</t>
  </si>
  <si>
    <t>JOBA</t>
  </si>
  <si>
    <t>Color Your Night</t>
  </si>
  <si>
    <t>Lotus Juice, Azumi Takahashi, ATLUS</t>
  </si>
  <si>
    <t>American Kids</t>
  </si>
  <si>
    <t>Kenny Chesney</t>
  </si>
  <si>
    <t>The Starting Line</t>
  </si>
  <si>
    <t>Face of the Sun</t>
  </si>
  <si>
    <t>Shana Cleaveland</t>
  </si>
  <si>
    <t>Dramaturgy</t>
  </si>
  <si>
    <t>Eve</t>
  </si>
  <si>
    <t>Blue Honey</t>
  </si>
  <si>
    <t>Lunar Vacation</t>
  </si>
  <si>
    <t>ROSALÍA, Yahritza Y Su Esencia</t>
  </si>
  <si>
    <t>Killin' It</t>
  </si>
  <si>
    <t>Foxy Shazam</t>
  </si>
  <si>
    <t>The Night Pat Murphy Died</t>
  </si>
  <si>
    <t>Great Big Sea</t>
  </si>
  <si>
    <t>R U High</t>
  </si>
  <si>
    <t>The Knocks, Mallrat</t>
  </si>
  <si>
    <t>Guilt Trippin</t>
  </si>
  <si>
    <t>Central Cee, Sexyy Red</t>
  </si>
  <si>
    <t>Shoot It Myself</t>
  </si>
  <si>
    <t>EST Gee, Future</t>
  </si>
  <si>
    <t>GOLDTOOTH</t>
  </si>
  <si>
    <t>Knucks, Blaqbonez</t>
  </si>
  <si>
    <t>What You Saying</t>
  </si>
  <si>
    <t>Lil Uzi Vert</t>
  </si>
  <si>
    <t>The Electric Sons</t>
  </si>
  <si>
    <t>STILL IN THE PAINT</t>
  </si>
  <si>
    <t>Denzel Curry, LAZER DIM 700, Bktherula</t>
  </si>
  <si>
    <t>Tainted Glow</t>
  </si>
  <si>
    <t>Amsterdam</t>
  </si>
  <si>
    <t>Icegergert</t>
  </si>
  <si>
    <t>Took A Turn</t>
  </si>
  <si>
    <t>J.P.</t>
  </si>
  <si>
    <t>#Twerkit</t>
  </si>
  <si>
    <t>Busta Rhymes, Nicki Minaj</t>
  </si>
  <si>
    <t>Coyote Theory</t>
  </si>
  <si>
    <t>Thrash Unreal</t>
  </si>
  <si>
    <t>Against Me!</t>
  </si>
  <si>
    <t>Feel It (From "Incincible"</t>
  </si>
  <si>
    <t>d4vd</t>
  </si>
  <si>
    <r>
      <t xml:space="preserve">Unofficial Theme: </t>
    </r>
    <r>
      <rPr>
        <rFont val="Calibri"/>
        <b val="0"/>
        <color theme="1"/>
        <sz val="11.0"/>
      </rPr>
      <t>bad people</t>
    </r>
  </si>
  <si>
    <t>War</t>
  </si>
  <si>
    <t>King Von</t>
  </si>
  <si>
    <t>S.M.O.</t>
  </si>
  <si>
    <t>Amaare</t>
  </si>
  <si>
    <t>Use This Gospel</t>
  </si>
  <si>
    <t>Kayne West, Clipse, Kenny G</t>
  </si>
  <si>
    <t>Hearless (feat. Morgan Wallen)</t>
  </si>
  <si>
    <t>Diplo, Morgan Wallen</t>
  </si>
  <si>
    <t>She Ain't You</t>
  </si>
  <si>
    <t>Chris Brown</t>
  </si>
  <si>
    <t>Beach Boogie</t>
  </si>
  <si>
    <t>Three Beat Slide</t>
  </si>
  <si>
    <r>
      <rPr>
        <rFont val="Calibri"/>
        <b/>
        <color theme="1"/>
        <sz val="11.0"/>
      </rPr>
      <t>Theme:</t>
    </r>
    <r>
      <rPr>
        <rFont val="Calibri"/>
        <color theme="1"/>
        <sz val="11.0"/>
      </rPr>
      <t xml:space="preserve"> Summer Vibes</t>
    </r>
  </si>
  <si>
    <t>Neon Guts</t>
  </si>
  <si>
    <t>Lil Uzi Vert, Pharrell Williams</t>
  </si>
  <si>
    <t>Outer Space Pickleball</t>
  </si>
  <si>
    <t>BLP KOSHER, BabyTron</t>
  </si>
  <si>
    <t>Who Dat Girl (feat. Akon)</t>
  </si>
  <si>
    <t>Flo Rida, Akon</t>
  </si>
  <si>
    <t>Farmer's Daughter</t>
  </si>
  <si>
    <t>Rodney Atkins</t>
  </si>
  <si>
    <t xml:space="preserve">Oh! Tengo Suerte </t>
  </si>
  <si>
    <t>Masayoshi Takanaka</t>
  </si>
  <si>
    <t>score</t>
  </si>
  <si>
    <t>rank</t>
  </si>
  <si>
    <t>peace signs</t>
  </si>
  <si>
    <t xml:space="preserve">JRjoos, redwater, RERI </t>
  </si>
  <si>
    <t>Peso Pluma, Anitta</t>
  </si>
  <si>
    <t>MiLES TRUMPET (i)</t>
  </si>
  <si>
    <t>IDK</t>
  </si>
  <si>
    <t>The door</t>
  </si>
  <si>
    <t>Teddy swims, Tiago PKZ</t>
  </si>
  <si>
    <t>waves- Tame Impala Remix</t>
  </si>
  <si>
    <t>Miguel, Tame Impala</t>
  </si>
  <si>
    <t>Maroon</t>
  </si>
  <si>
    <t>Kevin Abstract, Dominic Fike</t>
  </si>
  <si>
    <t>Demons (feat. Denzel Curry)</t>
  </si>
  <si>
    <t>A$AP Ferg, Denzel Curry</t>
  </si>
  <si>
    <r>
      <rPr>
        <rFont val="Calibri"/>
        <b/>
        <color theme="1"/>
        <sz val="11.0"/>
      </rPr>
      <t>Unofficial theme</t>
    </r>
    <r>
      <rPr>
        <rFont val="Calibri"/>
        <color theme="1"/>
        <sz val="11.0"/>
      </rPr>
      <t>: A$AP</t>
    </r>
  </si>
  <si>
    <t>Blowin' Minds</t>
  </si>
  <si>
    <t>A$SAP Mob, Chief Keef, Playboi Carti</t>
  </si>
  <si>
    <t>FLIP PHONE ANTHEM</t>
  </si>
  <si>
    <t>A$AP Ferg, Awich, Gucci Mane</t>
  </si>
  <si>
    <t>Hummer Limo</t>
  </si>
  <si>
    <t>A$AP Ferg</t>
  </si>
  <si>
    <t>Punk Rocky</t>
  </si>
  <si>
    <t>A$AP Rocky</t>
  </si>
  <si>
    <t>Frankenstein</t>
  </si>
  <si>
    <t>Swedish House Mafia, A$AP Rocky</t>
  </si>
  <si>
    <t>Slowly</t>
  </si>
  <si>
    <t>Giraffage, Matosic</t>
  </si>
  <si>
    <t>Fuerzo Regida, Grupo Frontera</t>
  </si>
  <si>
    <t>JUST DANCE 2</t>
  </si>
  <si>
    <t>PARTYOF2</t>
  </si>
  <si>
    <t>RGF Island</t>
  </si>
  <si>
    <t>Fetty Wap</t>
  </si>
  <si>
    <t>Ain't Too Proud To Beg</t>
  </si>
  <si>
    <t>The Temptations</t>
  </si>
  <si>
    <t>Ditto</t>
  </si>
  <si>
    <t>Aries</t>
  </si>
  <si>
    <t>NERVOUS</t>
  </si>
  <si>
    <t>Sam Gellaitry</t>
  </si>
  <si>
    <t>Parking Lots</t>
  </si>
  <si>
    <t>Plums</t>
  </si>
  <si>
    <t>FACE</t>
  </si>
  <si>
    <t>Dev Lemons</t>
  </si>
  <si>
    <t>Gigi Perez</t>
  </si>
  <si>
    <t>Crux</t>
  </si>
  <si>
    <t>Djo</t>
  </si>
  <si>
    <t>Odd Look</t>
  </si>
  <si>
    <t>Kavinsky, The Weeknd</t>
  </si>
  <si>
    <t>Tripping Over Air</t>
  </si>
  <si>
    <t>Aiden Bissett</t>
  </si>
  <si>
    <t>PIDA LO QUE QUIERA MAMI</t>
  </si>
  <si>
    <t>Feid</t>
  </si>
  <si>
    <t>i'm so tired</t>
  </si>
  <si>
    <t>MAVI</t>
  </si>
  <si>
    <t>Just Pretend</t>
  </si>
  <si>
    <t>Bad Omens</t>
  </si>
  <si>
    <t>Lay Me Down (feat. Sublime with ROME)</t>
  </si>
  <si>
    <t>Dirty Heads, ROME</t>
  </si>
  <si>
    <t>Flume, Toro y Moi</t>
  </si>
  <si>
    <t>DEEP SEA</t>
  </si>
  <si>
    <t>SEGA SOUND TEAM</t>
  </si>
  <si>
    <r>
      <rPr>
        <rFont val="Calibri"/>
        <b/>
        <color theme="1"/>
        <sz val="11.0"/>
      </rPr>
      <t>Theme:</t>
    </r>
    <r>
      <rPr>
        <rFont val="Calibri"/>
        <color theme="1"/>
        <sz val="11.0"/>
      </rPr>
      <t xml:space="preserve"> Ink Master</t>
    </r>
  </si>
  <si>
    <t>In My Dungeon</t>
  </si>
  <si>
    <t>Zak Bagans vs Praga Khan</t>
  </si>
  <si>
    <t>Tell më</t>
  </si>
  <si>
    <t>Yeat</t>
  </si>
  <si>
    <t>Hans Zimmer</t>
  </si>
  <si>
    <t>Pennsylvania Polka</t>
  </si>
  <si>
    <t>Myron Floren</t>
  </si>
  <si>
    <t>All Nighter</t>
  </si>
  <si>
    <t>Tiesto</t>
  </si>
  <si>
    <t xml:space="preserve">el cielo </t>
  </si>
  <si>
    <t>TINI</t>
  </si>
  <si>
    <t>Flocco Era Begins</t>
  </si>
  <si>
    <t>Easter Pink</t>
  </si>
  <si>
    <t>fakemink</t>
  </si>
  <si>
    <t>I'm Not Sure</t>
  </si>
  <si>
    <t>Tems</t>
  </si>
  <si>
    <t>JANE DOE</t>
  </si>
  <si>
    <t>Kenshi Yonezu, Hikaru Utada</t>
  </si>
  <si>
    <t>Forever</t>
  </si>
  <si>
    <t>ZULAN</t>
  </si>
  <si>
    <t>Lost in your Light</t>
  </si>
  <si>
    <t>Dua Lipa, Miguel</t>
  </si>
  <si>
    <t>Balu Brigada</t>
  </si>
  <si>
    <t>Inside Out</t>
  </si>
  <si>
    <t>keshi</t>
  </si>
  <si>
    <t>Clairo</t>
  </si>
  <si>
    <t>BANG YOUR HEAD</t>
  </si>
  <si>
    <t>Devin Malik, ScHoolboy Q</t>
  </si>
  <si>
    <t>Vampire</t>
  </si>
  <si>
    <t>Dominic Fike</t>
  </si>
  <si>
    <t>Pinball Wizard- Remastered 1995</t>
  </si>
  <si>
    <t>Elton John</t>
  </si>
  <si>
    <t>Give it All</t>
  </si>
  <si>
    <t>Rise Against</t>
  </si>
  <si>
    <t>High In Low Places</t>
  </si>
  <si>
    <t>Beach Weather</t>
  </si>
  <si>
    <t>Tears On A Pretty Face</t>
  </si>
  <si>
    <t>Kyle Dion</t>
  </si>
  <si>
    <t>WHERE SHE GOES</t>
  </si>
  <si>
    <t>9 2 5</t>
  </si>
  <si>
    <t>Nourished by Time</t>
  </si>
  <si>
    <t>Follow You Follow Me</t>
  </si>
  <si>
    <t>Love Letters Lost (feat. Matt Skiba of Alkaline Trio)</t>
  </si>
  <si>
    <t>Yellowcard, Alkaline Trio</t>
  </si>
  <si>
    <t>Kick</t>
  </si>
  <si>
    <t>Militarie Gun</t>
  </si>
  <si>
    <t>Capital Soirée</t>
  </si>
  <si>
    <t>shy girl</t>
  </si>
  <si>
    <t>wilo wilde</t>
  </si>
  <si>
    <t>Old News</t>
  </si>
  <si>
    <t>Big K.R.I.T.</t>
  </si>
  <si>
    <t>Darci</t>
  </si>
  <si>
    <t>Dance With The Devil</t>
  </si>
  <si>
    <t>Immortal Technique</t>
  </si>
  <si>
    <t>Fumblin'</t>
  </si>
  <si>
    <t>Tiramisu</t>
  </si>
  <si>
    <t>Don Toliver</t>
  </si>
  <si>
    <t>Frontiers</t>
  </si>
  <si>
    <t xml:space="preserve">Awich </t>
  </si>
  <si>
    <t>Trackhawk</t>
  </si>
  <si>
    <t>Babyfxce E</t>
  </si>
  <si>
    <t>Rock A Bye Baby</t>
  </si>
  <si>
    <t>light blue linen</t>
  </si>
  <si>
    <t>Them &amp; I</t>
  </si>
  <si>
    <t>The Bomb</t>
  </si>
  <si>
    <t>Lydia Night</t>
  </si>
  <si>
    <t>Remi Wolf</t>
  </si>
  <si>
    <t>Walkin</t>
  </si>
  <si>
    <t>Denzel Curry</t>
  </si>
  <si>
    <t>Goofy Goober Rock</t>
  </si>
  <si>
    <t>Tom Rothrock with Jim Wise</t>
  </si>
  <si>
    <r>
      <rPr>
        <rFont val="Calibri"/>
        <b/>
        <color theme="1"/>
        <sz val="11.0"/>
      </rPr>
      <t>Theme:</t>
    </r>
    <r>
      <rPr>
        <rFont val="Calibri"/>
        <color theme="1"/>
        <sz val="11.0"/>
      </rPr>
      <t xml:space="preserve"> Famous song in a movie</t>
    </r>
  </si>
  <si>
    <t>Lust For Life</t>
  </si>
  <si>
    <t>Iggy Pop</t>
  </si>
  <si>
    <t>Sith Lord</t>
  </si>
  <si>
    <t>Hot Wings (I Wanna Party)</t>
  </si>
  <si>
    <t>Will.i.am, Jamie Foxx, Anne Hathaway</t>
  </si>
  <si>
    <t>Scotty Doesn't Know</t>
  </si>
  <si>
    <t>Lustra</t>
  </si>
  <si>
    <t>Tevin Campbell</t>
  </si>
  <si>
    <t>All Star</t>
  </si>
  <si>
    <t>Smash Mouth</t>
  </si>
  <si>
    <t>princess peach</t>
  </si>
  <si>
    <t>CASUALIDAD</t>
  </si>
  <si>
    <t>Florenz</t>
  </si>
  <si>
    <t>Pashanim</t>
  </si>
  <si>
    <t>Clave Especial, Fuerza Regida</t>
  </si>
  <si>
    <t>I Love You So</t>
  </si>
  <si>
    <t>The Walters</t>
  </si>
  <si>
    <t>Lake Missoula</t>
  </si>
  <si>
    <t>Richy Mitch &amp; The Coal Miners, Mt Joy</t>
  </si>
  <si>
    <t>Les</t>
  </si>
  <si>
    <t>S.W.M.F</t>
  </si>
  <si>
    <t xml:space="preserve">Labrinth </t>
  </si>
  <si>
    <t>Off The Ground</t>
  </si>
  <si>
    <t>HolyBrune</t>
  </si>
  <si>
    <t>Olivia Dean</t>
  </si>
  <si>
    <t>Superpowers</t>
  </si>
  <si>
    <t>Daniel Ceasar</t>
  </si>
  <si>
    <t>Two Six</t>
  </si>
  <si>
    <t>J. Cole</t>
  </si>
  <si>
    <t>Settle Down</t>
  </si>
  <si>
    <t>The 1975</t>
  </si>
  <si>
    <t>Remember When</t>
  </si>
  <si>
    <t>Wallows</t>
  </si>
  <si>
    <t>Barney Fletcher</t>
  </si>
  <si>
    <t>никогда</t>
  </si>
  <si>
    <t>Linda</t>
  </si>
  <si>
    <t>Half Off</t>
  </si>
  <si>
    <t>Tay-K</t>
  </si>
  <si>
    <t>Vanilla Twilight</t>
  </si>
  <si>
    <t>Owl City</t>
  </si>
  <si>
    <t>She's Always a Woman</t>
  </si>
  <si>
    <t>My Heart</t>
  </si>
  <si>
    <t>Arctic Monkeys</t>
  </si>
  <si>
    <t>GIRLLIKEU</t>
  </si>
  <si>
    <t>3ee, aria., karinovvaa</t>
  </si>
  <si>
    <t>Leave You Alone</t>
  </si>
  <si>
    <t>Sea of Lettuce</t>
  </si>
  <si>
    <t>Above That Water</t>
  </si>
  <si>
    <t>Bird and Byron</t>
  </si>
  <si>
    <t>Stateside + Zara Larsson</t>
  </si>
  <si>
    <t>PinkPantheress, Zara Larsson</t>
  </si>
  <si>
    <t>To Love Somebody</t>
  </si>
  <si>
    <t>Holly Humberstone</t>
  </si>
  <si>
    <t>Stevie Wonder</t>
  </si>
  <si>
    <t>Stacys mom</t>
  </si>
  <si>
    <t>Fountains of Wayne</t>
  </si>
  <si>
    <t>ETA?</t>
  </si>
  <si>
    <t xml:space="preserve">NewJeans </t>
  </si>
  <si>
    <t>Heat Stick</t>
  </si>
  <si>
    <t>Shoreline Mafia</t>
  </si>
  <si>
    <t>Disco Shit</t>
  </si>
  <si>
    <t>03 Greedo, Kenny Beats, Freddie Gibbs</t>
  </si>
  <si>
    <t>Mr. Jones</t>
  </si>
  <si>
    <t>Mike Jones</t>
  </si>
  <si>
    <t>GAMIN</t>
  </si>
  <si>
    <t>Polami Roko</t>
  </si>
  <si>
    <t>Catfish and the Bottlemen</t>
  </si>
  <si>
    <t>Stay</t>
  </si>
  <si>
    <t>The Hails</t>
  </si>
  <si>
    <t>still</t>
  </si>
  <si>
    <t>bbno$</t>
  </si>
  <si>
    <t>Junior H</t>
  </si>
  <si>
    <t>Orchards</t>
  </si>
  <si>
    <t>Navy Blue</t>
  </si>
  <si>
    <t>Touch</t>
  </si>
  <si>
    <t>Sleeping At Last</t>
  </si>
  <si>
    <t>Stop the Dams</t>
  </si>
  <si>
    <t>Gorillaz</t>
  </si>
  <si>
    <t>New Slang</t>
  </si>
  <si>
    <t>The Shins</t>
  </si>
  <si>
    <t>Bazooka</t>
  </si>
  <si>
    <t>Miami XO</t>
  </si>
  <si>
    <t>Saturday Nights</t>
  </si>
  <si>
    <t>INOHA</t>
  </si>
  <si>
    <t>Otra Noche Sin Ti</t>
  </si>
  <si>
    <t>J Balvin, Khalid</t>
  </si>
  <si>
    <t>You Thought</t>
  </si>
  <si>
    <t>Teezo Touchdown, Janelle Monáe</t>
  </si>
  <si>
    <t>Travelers</t>
  </si>
  <si>
    <t>Andrew Prahlow</t>
  </si>
  <si>
    <t>zombie</t>
  </si>
  <si>
    <t>Max Fry</t>
  </si>
  <si>
    <t>Marty</t>
  </si>
  <si>
    <t>Rec Hall</t>
  </si>
  <si>
    <t>MULAN</t>
  </si>
  <si>
    <t>ANNA, Tony Effe</t>
  </si>
  <si>
    <t>Silverstein</t>
  </si>
  <si>
    <t>Twin Flame</t>
  </si>
  <si>
    <t>Ari Lennox</t>
  </si>
  <si>
    <t>Amnesia</t>
  </si>
  <si>
    <t>5 Seconds of Summer</t>
  </si>
  <si>
    <t>Ocean Man</t>
  </si>
  <si>
    <t>Ween</t>
  </si>
  <si>
    <t>Suicide Saturday</t>
  </si>
  <si>
    <t>Man in me</t>
  </si>
  <si>
    <t>Benson Boone</t>
  </si>
  <si>
    <t>Make of It</t>
  </si>
  <si>
    <t>half•alive</t>
  </si>
  <si>
    <t>Raindance</t>
  </si>
  <si>
    <t>Dave,Tems</t>
  </si>
  <si>
    <t>EGM'!!</t>
  </si>
  <si>
    <t>Pink Siifu, HiTech, Sprng4evr, Fullbodydurag</t>
  </si>
  <si>
    <t>In Your Arms</t>
  </si>
  <si>
    <t>Nico &amp; Vinz</t>
  </si>
  <si>
    <t>Watching You</t>
  </si>
  <si>
    <t>Blue Skies</t>
  </si>
  <si>
    <t>Moxie</t>
  </si>
  <si>
    <t>MUTT</t>
  </si>
  <si>
    <t>Leon Thomas</t>
  </si>
  <si>
    <t>Stay Right Here</t>
  </si>
  <si>
    <t>Saba, Xavier Omär, Mick Jenkins</t>
  </si>
  <si>
    <t>Quevedo: Bzrp Music Sessions, Vol. 52/66</t>
  </si>
  <si>
    <t>Quevedo, Bizarrap</t>
  </si>
  <si>
    <t>Human Mind</t>
  </si>
  <si>
    <t>Mavis Staples</t>
  </si>
  <si>
    <t>Somewhere I Belong</t>
  </si>
  <si>
    <t>Popular</t>
  </si>
  <si>
    <t>The Weeknd, Madonna, Playboi Carti</t>
  </si>
  <si>
    <t>Dear Maria, Count Me In</t>
  </si>
  <si>
    <t>All Time Low</t>
  </si>
  <si>
    <t xml:space="preserve">Circus </t>
  </si>
  <si>
    <t>Britney Spears</t>
  </si>
  <si>
    <t>Deeper</t>
  </si>
  <si>
    <t>Freddie Gibbs</t>
  </si>
  <si>
    <t>alise</t>
  </si>
  <si>
    <t>Jawnino, SURF GANG, Che Richards</t>
  </si>
  <si>
    <t>Future Islands</t>
  </si>
  <si>
    <t>STAY YOUNG STAY PUNK</t>
  </si>
  <si>
    <t>FIVE STATE DRIVE</t>
  </si>
  <si>
    <t>Winter State (feat. Safe Bet)</t>
  </si>
  <si>
    <t>Wilmette</t>
  </si>
  <si>
    <t>Potential</t>
  </si>
  <si>
    <t>Never Ending Fall</t>
  </si>
  <si>
    <t>Daniel Ceasar, H.E.R.</t>
  </si>
  <si>
    <t>Logan day</t>
  </si>
  <si>
    <t>Ni le cabe</t>
  </si>
  <si>
    <t>REDE</t>
  </si>
  <si>
    <t>ZAH1DE, benno!</t>
  </si>
  <si>
    <t>Leaves From the Vine</t>
  </si>
  <si>
    <t>Jeremy Zuckerman</t>
  </si>
  <si>
    <t>C'est La Vie</t>
  </si>
  <si>
    <t>Yung Gravy, bbno$, Rich Brian</t>
  </si>
  <si>
    <t>Aoi Yakusoku</t>
  </si>
  <si>
    <t>Ayako Shimabuchi</t>
  </si>
  <si>
    <t>Twinleaf Town</t>
  </si>
  <si>
    <t>Eric Buchholz</t>
  </si>
  <si>
    <t>Kingdom Hearts Key</t>
  </si>
  <si>
    <t>JPEGMAFIA, Danny Brown, redveil</t>
  </si>
  <si>
    <t>How Can I Make It Ok?</t>
  </si>
  <si>
    <t>Tinashe</t>
  </si>
  <si>
    <t>Mama's Boy</t>
  </si>
  <si>
    <t>Six Days - Remix</t>
  </si>
  <si>
    <t>DJ Shadow, Mos Def</t>
  </si>
  <si>
    <t>Futures</t>
  </si>
  <si>
    <t>Jimmy Eat World</t>
  </si>
  <si>
    <t>Jackie And Wilson</t>
  </si>
  <si>
    <t>Hozier</t>
  </si>
  <si>
    <t>closer</t>
  </si>
  <si>
    <t>vault boy, salem ilese</t>
  </si>
  <si>
    <t>Sci-Fi</t>
  </si>
  <si>
    <t>Tainy, Rauw Alejandro</t>
  </si>
  <si>
    <t>Bad Choices</t>
  </si>
  <si>
    <t>Larry June, 2 Chainz, The Alchemist</t>
  </si>
  <si>
    <t>Fleetwood Mac</t>
  </si>
  <si>
    <t>All the Way</t>
  </si>
  <si>
    <t>BigXthaPlug, Bailey Zimmerman</t>
  </si>
  <si>
    <t>Program</t>
  </si>
  <si>
    <t>Chase &amp; Status, IRAH</t>
  </si>
  <si>
    <t>Cough drops</t>
  </si>
  <si>
    <t>Almost Monday</t>
  </si>
  <si>
    <t>Rose Pink Cadillac</t>
  </si>
  <si>
    <t>DOPE LEMON</t>
  </si>
  <si>
    <r>
      <rPr>
        <rFont val="Calibri"/>
        <b/>
        <color theme="1"/>
        <sz val="11.0"/>
      </rPr>
      <t>Unofficial Theme</t>
    </r>
    <r>
      <rPr>
        <rFont val="Calibri"/>
        <color theme="1"/>
        <sz val="11.0"/>
      </rPr>
      <t>: Colors in the title</t>
    </r>
  </si>
  <si>
    <t>PERRO NEGRO</t>
  </si>
  <si>
    <t>Bad Bunny, Feid</t>
  </si>
  <si>
    <t>Dark Red</t>
  </si>
  <si>
    <t>Steve Lacy</t>
  </si>
  <si>
    <t>Something in the Orange</t>
  </si>
  <si>
    <t>Zach Bryan</t>
  </si>
  <si>
    <t>Keep it Gold</t>
  </si>
  <si>
    <t>Surfaces</t>
  </si>
  <si>
    <t>Suite: Judy Blue Eyes</t>
  </si>
  <si>
    <t>Crosby, Stills &amp; Nash</t>
  </si>
  <si>
    <t>Coldplay</t>
  </si>
  <si>
    <t>VENENO</t>
  </si>
  <si>
    <t>RØZ, DannyLux</t>
  </si>
  <si>
    <t>Cage The Elephant</t>
  </si>
  <si>
    <t>Letting Things Go</t>
  </si>
  <si>
    <t>Vulfmon, Evangeline</t>
  </si>
  <si>
    <t>Girl On The Moon</t>
  </si>
  <si>
    <t>Foreigner</t>
  </si>
  <si>
    <t>Cat's in the Cradle</t>
  </si>
  <si>
    <t>Harry Chapin</t>
  </si>
  <si>
    <t>Do Me Like That</t>
  </si>
  <si>
    <t>The Paradox</t>
  </si>
  <si>
    <t>6 foot 7 foot</t>
  </si>
  <si>
    <t>Lil Wayne, Cory Gunz</t>
  </si>
  <si>
    <t>Netfilx &amp; Dusse</t>
  </si>
  <si>
    <t>Smino</t>
  </si>
  <si>
    <t>Toxic</t>
  </si>
  <si>
    <t>slayr</t>
  </si>
  <si>
    <t>Andy Mineo, Mark Morrison</t>
  </si>
  <si>
    <t>MOB CHOIR</t>
  </si>
  <si>
    <t>Homewrecker</t>
  </si>
  <si>
    <t>VIC MENSA, Rivers Cuomo</t>
  </si>
  <si>
    <t>Go on then, love</t>
  </si>
  <si>
    <t>Said the sky, the Maine</t>
  </si>
  <si>
    <t>Poison Ivy</t>
  </si>
  <si>
    <t>Cousin Simple</t>
  </si>
  <si>
    <t>Immaculate</t>
  </si>
  <si>
    <t>Shygirl, Club Shy, Saweetie</t>
  </si>
  <si>
    <r>
      <rPr>
        <rFont val="Calibri"/>
        <b/>
        <color theme="1"/>
        <sz val="11.0"/>
      </rPr>
      <t xml:space="preserve">Theme: </t>
    </r>
    <r>
      <rPr>
        <rFont val="Calibri"/>
        <b val="0"/>
        <color theme="1"/>
        <sz val="11.0"/>
      </rPr>
      <t>Bad Bitch Era</t>
    </r>
  </si>
  <si>
    <t>My Type</t>
  </si>
  <si>
    <t>Saweetie, Jhené Aiko, City Girls</t>
  </si>
  <si>
    <t>THE BADDEST</t>
  </si>
  <si>
    <t>Joey Valence &amp; Brae</t>
  </si>
  <si>
    <t>NISSAN ALTIMA</t>
  </si>
  <si>
    <t>Doechii</t>
  </si>
  <si>
    <t>Constant Repeat</t>
  </si>
  <si>
    <t>Charli xcx</t>
  </si>
  <si>
    <t>Girls in the Hood</t>
  </si>
  <si>
    <t>THEMSELVES</t>
  </si>
  <si>
    <t>Flowers</t>
  </si>
  <si>
    <t>Bag Raiders, Panama</t>
  </si>
  <si>
    <t>Ariel</t>
  </si>
  <si>
    <t>Figa de Guiné</t>
  </si>
  <si>
    <t>Mari Froes</t>
  </si>
  <si>
    <t>One Beer (Feat. Lauren Alaina)</t>
  </si>
  <si>
    <t>HARDY, Lauren Alaina, Devin Dawson</t>
  </si>
  <si>
    <t>Want Me Around</t>
  </si>
  <si>
    <t>Knuckle Puck</t>
  </si>
  <si>
    <t>Judy You Hung The Moon</t>
  </si>
  <si>
    <t>Harbour</t>
  </si>
  <si>
    <t>Belladona</t>
  </si>
  <si>
    <t>Kenia Os</t>
  </si>
  <si>
    <t>MOVING ON</t>
  </si>
  <si>
    <t>Weval</t>
  </si>
  <si>
    <t>Joelinton</t>
  </si>
  <si>
    <t>Carson Clay</t>
  </si>
  <si>
    <t>Self Aware</t>
  </si>
  <si>
    <t>Temper City</t>
  </si>
  <si>
    <t>Tipsy- Club Remix</t>
  </si>
  <si>
    <t>J-Kwon</t>
  </si>
  <si>
    <t>Autopilot Off</t>
  </si>
  <si>
    <t>Next Exit</t>
  </si>
  <si>
    <t>Vacations</t>
  </si>
  <si>
    <t>Dive Into Me</t>
  </si>
  <si>
    <t>Alok, Khalid</t>
  </si>
  <si>
    <t>Perdon Mama</t>
  </si>
  <si>
    <t>Chuy Montana, Juanpa Salazar</t>
  </si>
  <si>
    <t>the one</t>
  </si>
  <si>
    <t>Gabriel Jacoby</t>
  </si>
  <si>
    <t>sdp interlude</t>
  </si>
  <si>
    <t>Bodies</t>
  </si>
  <si>
    <t>Drowning Pool</t>
  </si>
  <si>
    <t>Spillage Village, JID, Earthgang, Benji., Jurdan Bryant</t>
  </si>
  <si>
    <t>Gives You Hell</t>
  </si>
  <si>
    <t>All-American Rejects</t>
  </si>
  <si>
    <t>Medellín Takai</t>
  </si>
  <si>
    <t>Feid, Yuki Chiba</t>
  </si>
  <si>
    <t>Feel.Love.Thinking.Of.</t>
  </si>
  <si>
    <t>Faunts</t>
  </si>
  <si>
    <t>Shootouts In Soho</t>
  </si>
  <si>
    <t>Westside Gunn, A$AP Rocky, Stove God Cooks</t>
  </si>
  <si>
    <t>Nomu</t>
  </si>
  <si>
    <t>Colorblind</t>
  </si>
  <si>
    <t>Gavin Adcock</t>
  </si>
  <si>
    <t>WALK THE MOON</t>
  </si>
  <si>
    <t xml:space="preserve"> 3 Nights</t>
  </si>
  <si>
    <t xml:space="preserve"> Dominic Fike</t>
  </si>
  <si>
    <t>Robots</t>
  </si>
  <si>
    <t>Flight of the Concords</t>
  </si>
  <si>
    <t>Summertime Clothes</t>
  </si>
  <si>
    <t>Animal Collective</t>
  </si>
  <si>
    <t>Can't Take My Joy</t>
  </si>
  <si>
    <t>Robert Finley</t>
  </si>
  <si>
    <t>ALL THE LOVE</t>
  </si>
  <si>
    <t>Kanye West, Andre Troutman</t>
  </si>
  <si>
    <t>saadaw</t>
  </si>
  <si>
    <t>Save It For Later</t>
  </si>
  <si>
    <t>Eddie Vedder</t>
  </si>
  <si>
    <t>Burn After Writing</t>
  </si>
  <si>
    <t>The Menzingers</t>
  </si>
  <si>
    <t>She doesn't get it</t>
  </si>
  <si>
    <t xml:space="preserve"> Rec Hall</t>
  </si>
  <si>
    <t>Selfish</t>
  </si>
  <si>
    <t>PnB Rock</t>
  </si>
  <si>
    <r>
      <rPr>
        <rFont val="Calibri"/>
        <b/>
        <color theme="1"/>
        <sz val="11.0"/>
      </rPr>
      <t>Theme:</t>
    </r>
    <r>
      <rPr>
        <rFont val="Calibri"/>
        <color theme="1"/>
        <sz val="11.0"/>
      </rPr>
      <t xml:space="preserve"> Murdered/ Murdered someone</t>
    </r>
  </si>
  <si>
    <t>Mustard, Nipsey Hussle</t>
  </si>
  <si>
    <t>CRANK [SUMN]</t>
  </si>
  <si>
    <t>DaBaby</t>
  </si>
  <si>
    <t>Whatever</t>
  </si>
  <si>
    <t>Our Lady Peace</t>
  </si>
  <si>
    <t>Can't Fight This Feeling</t>
  </si>
  <si>
    <t>Russell Brand, Alec Baldwin</t>
  </si>
  <si>
    <t>Presidential Playas</t>
  </si>
  <si>
    <t>Presidential Playas, Big Miller, New Suspects, Po Boy, Big Floyd</t>
  </si>
  <si>
    <t xml:space="preserve"> Murder on my mind</t>
  </si>
  <si>
    <t xml:space="preserve"> YNW Melly</t>
  </si>
  <si>
    <t>Warda</t>
  </si>
  <si>
    <t>Inkonnu, Manal</t>
  </si>
  <si>
    <t>CRAZYZ</t>
  </si>
  <si>
    <t>Free Luigi</t>
  </si>
  <si>
    <t>Niontay</t>
  </si>
  <si>
    <t>Broadway Girls</t>
  </si>
  <si>
    <t>Lil Durk, Morgan Wallen</t>
  </si>
  <si>
    <t>Cruel World</t>
  </si>
  <si>
    <t>Unity</t>
  </si>
  <si>
    <t>Operation Ivy</t>
  </si>
  <si>
    <t>How Will I Know</t>
  </si>
  <si>
    <t xml:space="preserve"> Whitney Houston</t>
  </si>
  <si>
    <t>SFWA</t>
  </si>
  <si>
    <t>Jasòn Brulée</t>
  </si>
  <si>
    <t>1st Tie</t>
  </si>
  <si>
    <t>Put 'Em In Their Place</t>
  </si>
  <si>
    <t>Mobb Deep</t>
  </si>
  <si>
    <t>other side.</t>
  </si>
  <si>
    <t>Brent Faiyaz</t>
  </si>
  <si>
    <t>Superstar (feat. Matthew Santos)</t>
  </si>
  <si>
    <t>Lupe Fiasco, Matthew Santos</t>
  </si>
  <si>
    <t>Better If Worse</t>
  </si>
  <si>
    <t>HAFFWAY</t>
  </si>
  <si>
    <t>Ruby Soho</t>
  </si>
  <si>
    <t>Rancid</t>
  </si>
  <si>
    <t xml:space="preserve"> Sex, Drugs, Etc.</t>
  </si>
  <si>
    <t xml:space="preserve"> Beach Weather</t>
  </si>
  <si>
    <t>Guava Jelly</t>
  </si>
  <si>
    <t xml:space="preserve">Royce Fisherman </t>
  </si>
  <si>
    <t>Whistleblower</t>
  </si>
  <si>
    <t>Arkells</t>
  </si>
  <si>
    <t>Stealin All The Swag</t>
  </si>
  <si>
    <t>Metro Boomin, Young Dro, DJ Spinz</t>
  </si>
  <si>
    <t>Fable</t>
  </si>
  <si>
    <t>Sunny Jones</t>
  </si>
  <si>
    <t>West 22nd</t>
  </si>
  <si>
    <t>Brandenburg Gate</t>
  </si>
  <si>
    <t>Anti-Flag, Tim Armstrong</t>
  </si>
  <si>
    <t xml:space="preserve"> Radio rio</t>
  </si>
  <si>
    <t xml:space="preserve"> Masayoshi takanaka</t>
  </si>
  <si>
    <t>Dangerous Lover</t>
  </si>
  <si>
    <t>Sekou</t>
  </si>
  <si>
    <t>For Energy Infinite</t>
  </si>
  <si>
    <t>Mazarin</t>
  </si>
  <si>
    <t>Second Sleep</t>
  </si>
  <si>
    <t>Magdalena Bay</t>
  </si>
  <si>
    <t>Rollin</t>
  </si>
  <si>
    <t>Calvin Harris, Future, Khalid, Funk Wav</t>
  </si>
  <si>
    <t>Gary</t>
  </si>
  <si>
    <t>Stephen Wilson Jr.</t>
  </si>
  <si>
    <t>Don't you lie</t>
  </si>
  <si>
    <t>Offset</t>
  </si>
  <si>
    <t xml:space="preserve"> Pool House</t>
  </si>
  <si>
    <t xml:space="preserve"> The Backseat Lovers</t>
  </si>
  <si>
    <t>Krillin's Fumble</t>
  </si>
  <si>
    <t>Tory Lanez</t>
  </si>
  <si>
    <t>Madonna</t>
  </si>
  <si>
    <t>Natanael Cano, Oscar Maydon</t>
  </si>
  <si>
    <t>Jesus</t>
  </si>
  <si>
    <t>Chief Keef, Lil Gnar</t>
  </si>
  <si>
    <t>Space</t>
  </si>
  <si>
    <t>French Fuse</t>
  </si>
  <si>
    <t>i hate this tune</t>
  </si>
  <si>
    <t>Royel Otis</t>
  </si>
  <si>
    <t>Walk Me Home</t>
  </si>
  <si>
    <t>Said The Sky, ILLENIUM, Chelsea Cutler</t>
  </si>
  <si>
    <t xml:space="preserve"> California Gurls</t>
  </si>
  <si>
    <t xml:space="preserve"> Katy Perry, Snoop Dogg</t>
  </si>
  <si>
    <t>Disney Adult</t>
  </si>
  <si>
    <t>Grant &amp; Ash</t>
  </si>
  <si>
    <r>
      <rPr>
        <rFont val="Calibri"/>
        <b/>
        <color theme="1"/>
        <sz val="11.0"/>
      </rPr>
      <t xml:space="preserve">Theme: </t>
    </r>
    <r>
      <rPr>
        <rFont val="Calibri"/>
        <b val="0"/>
        <color theme="1"/>
        <sz val="11.0"/>
      </rPr>
      <t>Ragebait TTAC Day</t>
    </r>
  </si>
  <si>
    <t>2Slimey</t>
  </si>
  <si>
    <t>UCCI</t>
  </si>
  <si>
    <t>TisaKorean</t>
  </si>
  <si>
    <t>Yuno Miles</t>
  </si>
  <si>
    <t>MOOKY</t>
  </si>
  <si>
    <t>6ix9ine</t>
  </si>
  <si>
    <t>Stress</t>
  </si>
  <si>
    <t>Justice</t>
  </si>
  <si>
    <t xml:space="preserve"> SICKO MODE</t>
  </si>
  <si>
    <t xml:space="preserve"> Travis Scott</t>
  </si>
  <si>
    <t>Rift</t>
  </si>
  <si>
    <t>Let the Day Begin</t>
  </si>
  <si>
    <t>Black Rebel Motorcycle Club</t>
  </si>
  <si>
    <t>See You Later</t>
  </si>
  <si>
    <t>Terrace Martin, Kenyon Dixon</t>
  </si>
  <si>
    <t>Alchemist</t>
  </si>
  <si>
    <t>The Whole of the Moon - 2004 Remaster</t>
  </si>
  <si>
    <t>The Waterboys</t>
  </si>
  <si>
    <t>Baja</t>
  </si>
  <si>
    <t>Vista Kicks</t>
  </si>
  <si>
    <t xml:space="preserve"> Baby Come Back</t>
  </si>
  <si>
    <t xml:space="preserve"> Player</t>
  </si>
  <si>
    <t>GESHUOU</t>
  </si>
  <si>
    <t>Skankin' Sweet</t>
  </si>
  <si>
    <t>Chronixx</t>
  </si>
  <si>
    <t>EUPHORIA</t>
  </si>
  <si>
    <t>BKTHERULA, Joey Bada$$, Murda Beatz, Kaycyy</t>
  </si>
  <si>
    <t>Solo Dolo (Nightmare)</t>
  </si>
  <si>
    <t>Sun</t>
  </si>
  <si>
    <t>Two Door Cinema Club</t>
  </si>
  <si>
    <t>Jamie All Over</t>
  </si>
  <si>
    <t>Mayday Parade</t>
  </si>
  <si>
    <t xml:space="preserve"> Bad dreams</t>
  </si>
  <si>
    <t xml:space="preserve"> Teddy swims</t>
  </si>
  <si>
    <t>Don't Look Down</t>
  </si>
  <si>
    <t>Jai Wolf, BANKS</t>
  </si>
  <si>
    <t>Curame</t>
  </si>
  <si>
    <t>PARTYFÜRDICH (hamburg)</t>
  </si>
  <si>
    <t>TYM</t>
  </si>
  <si>
    <t>Ghost</t>
  </si>
  <si>
    <t>BoyWithUke</t>
  </si>
  <si>
    <t>just friends</t>
  </si>
  <si>
    <t>camille blackman</t>
  </si>
  <si>
    <t>Denim Eyed Deer</t>
  </si>
  <si>
    <t>Noah James</t>
  </si>
  <si>
    <t xml:space="preserve"> Delete Ya</t>
  </si>
  <si>
    <t xml:space="preserve"> Djo</t>
  </si>
  <si>
    <t>RED OUT</t>
  </si>
  <si>
    <t>Kenshi Yonezu</t>
  </si>
  <si>
    <t>WOOPAAA</t>
  </si>
  <si>
    <t>GORILLA GLUE, LIL NAKUR</t>
  </si>
  <si>
    <t>Treasury Operations</t>
  </si>
  <si>
    <t>your best friend jippy, Tha God Fahim</t>
  </si>
  <si>
    <t>I Just Wanna Run</t>
  </si>
  <si>
    <t>The Downtown Fiction</t>
  </si>
  <si>
    <t>Not Worth It</t>
  </si>
  <si>
    <t>ZillaKami</t>
  </si>
  <si>
    <t xml:space="preserve">Dirty Cigarettes </t>
  </si>
  <si>
    <t>Beach Slang</t>
  </si>
  <si>
    <t xml:space="preserve"> American Disco</t>
  </si>
  <si>
    <t xml:space="preserve"> Never ending fall</t>
  </si>
  <si>
    <t>Drifting</t>
  </si>
  <si>
    <t>Omar Apollo</t>
  </si>
  <si>
    <t>Everybody Shooters Too</t>
  </si>
  <si>
    <t>42 Dugg, EST Gee</t>
  </si>
  <si>
    <t>Yamaha</t>
  </si>
  <si>
    <t>Dijon</t>
  </si>
  <si>
    <t>Jane!</t>
  </si>
  <si>
    <t>The Long Faces</t>
  </si>
  <si>
    <t>She's Got a Way</t>
  </si>
  <si>
    <t>Drifter</t>
  </si>
  <si>
    <t>Hippie Sabotage</t>
  </si>
  <si>
    <t xml:space="preserve"> Roommates</t>
  </si>
  <si>
    <t xml:space="preserve"> Malcolm Todd</t>
  </si>
  <si>
    <t>I Main Samus Now</t>
  </si>
  <si>
    <t>Sleepy Fish</t>
  </si>
  <si>
    <t>Theme: Hammock Vibes</t>
  </si>
  <si>
    <t>She's Royal</t>
  </si>
  <si>
    <t>Tarrus Riley</t>
  </si>
  <si>
    <t>Michigan Ave</t>
  </si>
  <si>
    <t>Landslide</t>
  </si>
  <si>
    <t>End of August</t>
  </si>
  <si>
    <t>Noah Kahan</t>
  </si>
  <si>
    <t>Upside Down</t>
  </si>
  <si>
    <t>Jack Johnson</t>
  </si>
  <si>
    <t xml:space="preserve"> UB40</t>
  </si>
  <si>
    <t>Hunting Nirvana</t>
  </si>
  <si>
    <t>SAINt JHN</t>
  </si>
  <si>
    <t>Rosey Hiatus</t>
  </si>
  <si>
    <t>Frágil</t>
  </si>
  <si>
    <t>Yahritza Y Su Esencia, Grupo Frontero</t>
  </si>
  <si>
    <t>All I Did Was Dream of You</t>
  </si>
  <si>
    <t>beabadoobee, The Marías</t>
  </si>
  <si>
    <t>🐸</t>
  </si>
  <si>
    <t>💼</t>
  </si>
  <si>
    <t>🦔</t>
  </si>
  <si>
    <t>Grievous and the Droids</t>
  </si>
  <si>
    <t>John Williams, London Symphony</t>
  </si>
  <si>
    <t>Out of Sight</t>
  </si>
  <si>
    <t>Hundredth</t>
  </si>
  <si>
    <t>🦧</t>
  </si>
  <si>
    <t>🍯🌙</t>
  </si>
  <si>
    <t>I'm Alright</t>
  </si>
  <si>
    <t>R.LUM.R</t>
  </si>
  <si>
    <t>Broken Bones</t>
  </si>
  <si>
    <t>Anti-Flag</t>
  </si>
  <si>
    <t>Sneaky "B"</t>
  </si>
  <si>
    <t>Rio Da Yung Og</t>
  </si>
  <si>
    <t>⛩️</t>
  </si>
  <si>
    <t>The Weight of Dreams</t>
  </si>
  <si>
    <t>Greta Van Fleet</t>
  </si>
  <si>
    <t>Nonsense (feat. Mark Foster)</t>
  </si>
  <si>
    <t>Madeon, Mark Foster</t>
  </si>
  <si>
    <t>🕋</t>
  </si>
  <si>
    <t>Konbini</t>
  </si>
  <si>
    <t>misa</t>
  </si>
  <si>
    <t>Ay, DiOs Mio!</t>
  </si>
  <si>
    <t>Karol G</t>
  </si>
  <si>
    <t>Yoko Ono</t>
  </si>
  <si>
    <t>Kevin Abstract, Love Spells, Makana XO</t>
  </si>
  <si>
    <t>🪅</t>
  </si>
  <si>
    <t>Gloria</t>
  </si>
  <si>
    <t>The Lumineers</t>
  </si>
  <si>
    <t>Good Bye Boogie Dance</t>
  </si>
  <si>
    <t>Anri</t>
  </si>
  <si>
    <t>🤠</t>
  </si>
  <si>
    <t>I'm Alive</t>
  </si>
  <si>
    <t>Anthrax</t>
  </si>
  <si>
    <t>costly</t>
  </si>
  <si>
    <t>MARCO PLUS</t>
  </si>
  <si>
    <t>🧏🏽‍♂️</t>
  </si>
  <si>
    <t>If You're Reading This</t>
  </si>
  <si>
    <t>Tim McGraw</t>
  </si>
  <si>
    <t>Buggin out</t>
  </si>
  <si>
    <t>A tribe called Quest</t>
  </si>
  <si>
    <t>👨🏿‍🦰</t>
  </si>
  <si>
    <t>2SIDED</t>
  </si>
  <si>
    <t>Arlo Parks</t>
  </si>
  <si>
    <t xml:space="preserve">Mbappe </t>
  </si>
  <si>
    <t>Eladio Carrion</t>
  </si>
  <si>
    <t>Schnitzelmann</t>
  </si>
  <si>
    <t>JACE</t>
  </si>
  <si>
    <t>🎅🏿</t>
  </si>
  <si>
    <t>St. Tropez</t>
  </si>
  <si>
    <t>Don't Close Your Eyes</t>
  </si>
  <si>
    <t>SMOKES</t>
  </si>
  <si>
    <t>🧊</t>
  </si>
  <si>
    <t>Backstage Pass</t>
  </si>
  <si>
    <t>Smino, monte booker, The Drums</t>
  </si>
  <si>
    <r>
      <rPr>
        <rFont val="Calibri"/>
        <b/>
        <color theme="1"/>
        <sz val="11.0"/>
      </rPr>
      <t xml:space="preserve">Theme: </t>
    </r>
    <r>
      <rPr>
        <rFont val="Calibri"/>
        <b val="0"/>
        <color theme="1"/>
        <sz val="11.0"/>
      </rPr>
      <t>Sports game soundtrack &amp; Iceman Day</t>
    </r>
  </si>
  <si>
    <t>Warriors Of Time</t>
  </si>
  <si>
    <t>Black Tide</t>
  </si>
  <si>
    <t>Grab Yo Skates</t>
  </si>
  <si>
    <t>🥶</t>
  </si>
  <si>
    <t>Wolly Bully</t>
  </si>
  <si>
    <t>Sam The Sham &amp; The Pharaohs</t>
  </si>
  <si>
    <t>Please Don't Fall In Love With Me</t>
  </si>
  <si>
    <t>Khalid</t>
  </si>
  <si>
    <t>CITGO</t>
  </si>
  <si>
    <t>Kenny Mason</t>
  </si>
  <si>
    <t>Crash</t>
  </si>
  <si>
    <t>Saba, No ID, Raphael Saadiq, Kelly Rowland</t>
  </si>
  <si>
    <t>⛄</t>
  </si>
  <si>
    <t>💤</t>
  </si>
  <si>
    <t>Taylor Swift</t>
  </si>
  <si>
    <t>YES GODDD</t>
  </si>
  <si>
    <t>Slayyyter</t>
  </si>
  <si>
    <t>How much is weed?</t>
  </si>
  <si>
    <t>Gloria!</t>
  </si>
  <si>
    <t>Johnny Yukon</t>
  </si>
  <si>
    <t>LA GRACIOSA</t>
  </si>
  <si>
    <t>Quevedo, Elvis Crespo</t>
  </si>
  <si>
    <t>I Had A Dream She Took My Hand</t>
  </si>
  <si>
    <t>James Blake</t>
  </si>
  <si>
    <t>🌨️</t>
  </si>
  <si>
    <t>Outskirts Of Infinity</t>
  </si>
  <si>
    <t>Ashes To Amber</t>
  </si>
  <si>
    <t>Wish You Were Here</t>
  </si>
  <si>
    <t>Neck Deep</t>
  </si>
  <si>
    <t>Movies</t>
  </si>
  <si>
    <t>Alfie Templeman</t>
  </si>
  <si>
    <t>atomic</t>
  </si>
  <si>
    <t>Aziya</t>
  </si>
  <si>
    <t>All That Matters</t>
  </si>
  <si>
    <t>6LACK, Leon Thomas, AZ Chike</t>
  </si>
  <si>
    <t>Circus Circus Freestyle</t>
  </si>
  <si>
    <t>🏂🏿</t>
  </si>
  <si>
    <t>Black Sheep- Brie Larson Vocal Version</t>
  </si>
  <si>
    <t>Metric, Brie Larson</t>
  </si>
  <si>
    <t>All I Really Want</t>
  </si>
  <si>
    <t>Yes Boone</t>
  </si>
  <si>
    <t>Super Rich Kids</t>
  </si>
  <si>
    <t>Frank Ocean, Earl Sweatshirt</t>
  </si>
  <si>
    <t>Afterbody</t>
  </si>
  <si>
    <t>Jae Stephens</t>
  </si>
  <si>
    <t>Solitaires</t>
  </si>
  <si>
    <t>Future, Travis Scott</t>
  </si>
  <si>
    <t>She Knows Too Much</t>
  </si>
  <si>
    <t>Thundercat, Mac Miller</t>
  </si>
  <si>
    <t>🍧</t>
  </si>
  <si>
    <t>Something to Be Proud Of</t>
  </si>
  <si>
    <t>Montgomery Gentry</t>
  </si>
  <si>
    <t>In Flames</t>
  </si>
  <si>
    <t>Dabin, Lexi Norton</t>
  </si>
  <si>
    <t>Moment</t>
  </si>
  <si>
    <t>BIAF &lt;3</t>
  </si>
  <si>
    <t>LAGUNA</t>
  </si>
  <si>
    <t>Mora, Arcangel</t>
  </si>
  <si>
    <t>Street Sweeper</t>
  </si>
  <si>
    <t>Chase B, Swae Lee</t>
  </si>
  <si>
    <t>⛷️</t>
  </si>
  <si>
    <t>Three Among Shrubs</t>
  </si>
  <si>
    <t>Men I Trust</t>
  </si>
  <si>
    <t>Daphne Blue</t>
  </si>
  <si>
    <t>The Band CAMINO</t>
  </si>
  <si>
    <t>Set my heart on fire</t>
  </si>
  <si>
    <t>Majestic, the jammin kid, Celine Dion</t>
  </si>
  <si>
    <t>US Map</t>
  </si>
  <si>
    <t>World Map</t>
  </si>
  <si>
    <t>Fria</t>
  </si>
  <si>
    <t>Anitta (Brazil)</t>
  </si>
  <si>
    <r>
      <rPr>
        <rFont val="Calibri"/>
        <b/>
        <color theme="1"/>
        <sz val="11.0"/>
      </rPr>
      <t xml:space="preserve">Theme: </t>
    </r>
    <r>
      <rPr>
        <rFont val="Calibri"/>
        <b val="0"/>
        <color theme="1"/>
        <sz val="11.0"/>
      </rPr>
      <t>Geoguessr</t>
    </r>
  </si>
  <si>
    <t>Logan's Map</t>
  </si>
  <si>
    <t>World v3</t>
  </si>
  <si>
    <t>Joga Pra Lua</t>
  </si>
  <si>
    <t>Anitta, DENNIS, PEDRO SAMPAIO (Brazil)</t>
  </si>
  <si>
    <t>Parker's Map</t>
  </si>
  <si>
    <t>No Move</t>
  </si>
  <si>
    <t>I'm Flush</t>
  </si>
  <si>
    <t>KNEECAP (Ireland)</t>
  </si>
  <si>
    <t>🛷</t>
  </si>
  <si>
    <t>Midnight Luvah</t>
  </si>
  <si>
    <t>8RO8, Topshakaz (Hawaii)</t>
  </si>
  <si>
    <t>TTAC's Map</t>
  </si>
  <si>
    <t>Señor sol, señora luna</t>
  </si>
  <si>
    <t>San Pedro Bonfim (Ecuador)</t>
  </si>
  <si>
    <t>Weston's Map</t>
  </si>
  <si>
    <t>Damn I love Miami</t>
  </si>
  <si>
    <t>Pit bull, lil Jon (I wonder which city??)</t>
  </si>
  <si>
    <t>Flocco's Map</t>
  </si>
  <si>
    <t>World v2</t>
  </si>
  <si>
    <t>over it</t>
  </si>
  <si>
    <t>joss lockwood</t>
  </si>
  <si>
    <t xml:space="preserve">All My Heroes </t>
  </si>
  <si>
    <t>Naeleck, Sarah Rebecca</t>
  </si>
  <si>
    <t>World v1</t>
  </si>
  <si>
    <t>Where's My Phone?</t>
  </si>
  <si>
    <t>Mitski</t>
  </si>
  <si>
    <t>World v4</t>
  </si>
  <si>
    <t>🐆</t>
  </si>
  <si>
    <t>Find Me Something New</t>
  </si>
  <si>
    <t>Rob Disner</t>
  </si>
  <si>
    <t>Crazy</t>
  </si>
  <si>
    <t>Myles Lloyd, BUNT.</t>
  </si>
  <si>
    <t>Home wrecker</t>
  </si>
  <si>
    <t xml:space="preserve">Sombr </t>
  </si>
  <si>
    <t>Surf Swag</t>
  </si>
  <si>
    <t>Lil Wayne</t>
  </si>
  <si>
    <t>AGAIN</t>
  </si>
  <si>
    <t>Feid, Sky Rompiendo, Majid Jordan</t>
  </si>
  <si>
    <t>Highest</t>
  </si>
  <si>
    <t>Samara Cyn</t>
  </si>
  <si>
    <t>🏒</t>
  </si>
  <si>
    <t>Sure Don't Miss You</t>
  </si>
  <si>
    <t>The Dip</t>
  </si>
  <si>
    <t>Give A Little</t>
  </si>
  <si>
    <t>Maggie Rogers</t>
  </si>
  <si>
    <t>Everlong</t>
  </si>
  <si>
    <t>Foo Fighters</t>
  </si>
  <si>
    <t>Lying Awake</t>
  </si>
  <si>
    <t>Notes From Under Ground</t>
  </si>
  <si>
    <t>y2k</t>
  </si>
  <si>
    <t>sArah</t>
  </si>
  <si>
    <t>TRICERATOPS</t>
  </si>
  <si>
    <t>Action Bronson, Paul Wall, Lil Yachty</t>
  </si>
  <si>
    <t>🍨</t>
  </si>
  <si>
    <t>Diane Young</t>
  </si>
  <si>
    <t>Vampire Weekend</t>
  </si>
  <si>
    <t>Mistadabolina</t>
  </si>
  <si>
    <t>Del The Funky Homosapien</t>
  </si>
  <si>
    <t>Creep</t>
  </si>
  <si>
    <t>Radiohead</t>
  </si>
  <si>
    <t>Oxygen</t>
  </si>
  <si>
    <t>Porch Light</t>
  </si>
  <si>
    <t>Se Preparo</t>
  </si>
  <si>
    <t>Ozuna</t>
  </si>
  <si>
    <t>I Amnesia</t>
  </si>
  <si>
    <t>Gnarls Barkley, CeeLo Green, Danger Mouse</t>
  </si>
  <si>
    <t>🫂</t>
  </si>
  <si>
    <t>Boston</t>
  </si>
  <si>
    <t>STELLA LEFTY</t>
  </si>
  <si>
    <t>Stay Together For The Kids</t>
  </si>
  <si>
    <t>My Way</t>
  </si>
  <si>
    <t>Frank Sinatra</t>
  </si>
  <si>
    <t>Kokiri Forest</t>
  </si>
  <si>
    <t>Arcade Player</t>
  </si>
  <si>
    <t>Otra Atardecer</t>
  </si>
  <si>
    <t>Bad Bunny, The Marias</t>
  </si>
  <si>
    <t>MAN OF DA HOUR</t>
  </si>
  <si>
    <t>La Reezy</t>
  </si>
  <si>
    <t>🫗</t>
  </si>
  <si>
    <t>Calouji</t>
  </si>
  <si>
    <t>DJ Caloudji</t>
  </si>
  <si>
    <t>Iced Tea</t>
  </si>
  <si>
    <t>Joyce Wrice, KAYTRANADA</t>
  </si>
  <si>
    <t>Jersey</t>
  </si>
  <si>
    <t>Mayday parade</t>
  </si>
  <si>
    <t>Cruel Summer</t>
  </si>
  <si>
    <t>Ace of Base</t>
  </si>
  <si>
    <r>
      <rPr>
        <rFont val="Calibri"/>
        <b/>
        <color theme="1"/>
        <sz val="11.0"/>
      </rPr>
      <t xml:space="preserve">Theme: </t>
    </r>
    <r>
      <rPr>
        <rFont val="Calibri"/>
        <b val="0"/>
        <color theme="1"/>
        <sz val="11.0"/>
      </rPr>
      <t>Straight Outta The Vagina</t>
    </r>
  </si>
  <si>
    <t>Black Balloon</t>
  </si>
  <si>
    <t>The Goo Goo Dolls</t>
  </si>
  <si>
    <t>Ex-Factor</t>
  </si>
  <si>
    <t>Lauryn Hill</t>
  </si>
  <si>
    <t>🙈</t>
  </si>
  <si>
    <t>This Kiss</t>
  </si>
  <si>
    <t>Faith Hill</t>
  </si>
  <si>
    <t>Smooth</t>
  </si>
  <si>
    <t>Santana, Rob Thomas</t>
  </si>
  <si>
    <t>All the small things</t>
  </si>
  <si>
    <t>Blink 182</t>
  </si>
  <si>
    <t>Parker, Bianca</t>
  </si>
  <si>
    <t>Rétard Angel .</t>
  </si>
  <si>
    <t>Blind</t>
  </si>
  <si>
    <t>OG Keemo</t>
  </si>
  <si>
    <t>📞</t>
  </si>
  <si>
    <t>Dive Bar Named Nirvana</t>
  </si>
  <si>
    <t>Dogpark</t>
  </si>
  <si>
    <t>Higher Ground</t>
  </si>
  <si>
    <t>ODESZA, Naomi Wild</t>
  </si>
  <si>
    <t>Alien boy</t>
  </si>
  <si>
    <t>Oliver tree</t>
  </si>
  <si>
    <t>Heartless</t>
  </si>
  <si>
    <t>Mia Takarabe, Steve Aoki</t>
  </si>
  <si>
    <t>Save Your Breath</t>
  </si>
  <si>
    <t>Brent de la Cruz</t>
  </si>
  <si>
    <t>Ray Gun</t>
  </si>
  <si>
    <t>BADBADNOTGOOD, Ghostface Killah, MF DOOM</t>
  </si>
  <si>
    <t>💷</t>
  </si>
  <si>
    <t>Butterfly Boy</t>
  </si>
  <si>
    <t>Material Lover</t>
  </si>
  <si>
    <t>Honeypie</t>
  </si>
  <si>
    <t>Jawny</t>
  </si>
  <si>
    <t>Automatic</t>
  </si>
  <si>
    <t>Denzel Curry, Tay Kieth</t>
  </si>
  <si>
    <t>RIP Tay Keith</t>
  </si>
  <si>
    <t>Back and Forth</t>
  </si>
  <si>
    <t>Lil Baby, EST Gee</t>
  </si>
  <si>
    <t>DUMMY</t>
  </si>
  <si>
    <t>🐦</t>
  </si>
  <si>
    <t>Eye Spy</t>
  </si>
  <si>
    <t>Nardo Wick, Key Glock, Tay Kieth, Murda Beatz</t>
  </si>
  <si>
    <t>Cry No More</t>
  </si>
  <si>
    <t>Headie One, Stormzy, Tay Kieth</t>
  </si>
  <si>
    <t>CYKA</t>
  </si>
  <si>
    <t>Pussy Riot, Vladimir Putin</t>
  </si>
  <si>
    <t>Daikiri</t>
  </si>
  <si>
    <t>Simon Grossman</t>
  </si>
  <si>
    <t>Dialect &amp; Manners</t>
  </si>
  <si>
    <t>El Cousteau</t>
  </si>
  <si>
    <t>📺</t>
  </si>
  <si>
    <t>Ooh La La</t>
  </si>
  <si>
    <t>Faces</t>
  </si>
  <si>
    <t>Careless</t>
  </si>
  <si>
    <t>Vacation Manor</t>
  </si>
  <si>
    <t>The feeling</t>
  </si>
  <si>
    <t>Steve lacy</t>
  </si>
  <si>
    <t>Somedays</t>
  </si>
  <si>
    <t>Sonny Folders, Jazzy, D.O.D.</t>
  </si>
  <si>
    <t>Passenger</t>
  </si>
  <si>
    <t>Rikas</t>
  </si>
  <si>
    <t>trucha</t>
  </si>
  <si>
    <t>Peso Pluma, Tito Double T</t>
  </si>
  <si>
    <t>👌🏼</t>
  </si>
  <si>
    <t>Livin' In a Dream (feat. Nipsey Hustle)</t>
  </si>
  <si>
    <t>The Neighbourhood, Nipsey Hustle</t>
  </si>
  <si>
    <t>Good Knights</t>
  </si>
  <si>
    <t>Patience</t>
  </si>
  <si>
    <t>Tame impala</t>
  </si>
  <si>
    <t>Yor Zarad</t>
  </si>
  <si>
    <t>Angine de Poitrine</t>
  </si>
  <si>
    <r>
      <rPr>
        <rFont val="Calibri"/>
        <b/>
        <color theme="1"/>
        <sz val="11.0"/>
      </rPr>
      <t xml:space="preserve">Theme: </t>
    </r>
    <r>
      <rPr>
        <rFont val="Calibri"/>
        <b val="0"/>
        <color theme="1"/>
        <sz val="11.0"/>
      </rPr>
      <t>Instruments Only</t>
    </r>
  </si>
  <si>
    <t>Succession - Andante Risoluto</t>
  </si>
  <si>
    <t>Nicholas Britell</t>
  </si>
  <si>
    <t>Interstellar Peace (The Last Stance)</t>
  </si>
  <si>
    <t>Kamasi Washington</t>
  </si>
  <si>
    <t>🫨</t>
  </si>
  <si>
    <t>Finale</t>
  </si>
  <si>
    <t>Justin Hurwitz</t>
  </si>
  <si>
    <t>Face My Fears - KINGDOM Orchestra Instrumental Version</t>
  </si>
  <si>
    <t>Hikaru Utada, Skrillex</t>
  </si>
  <si>
    <t>Subwoofer Lullaby</t>
  </si>
  <si>
    <t>C418</t>
  </si>
  <si>
    <t>The Program</t>
  </si>
  <si>
    <t>870glizzy</t>
  </si>
  <si>
    <t>favorita</t>
  </si>
  <si>
    <t>dinamarca, AMORE</t>
  </si>
  <si>
    <t>Game On</t>
  </si>
  <si>
    <t>Little Simz, JT</t>
  </si>
  <si>
    <t>🚣🏼</t>
  </si>
  <si>
    <t>South of San Francisco</t>
  </si>
  <si>
    <t>Twin Fin</t>
  </si>
  <si>
    <t>I Don't Like Who I Was Then</t>
  </si>
  <si>
    <t>The Wonder Years</t>
  </si>
  <si>
    <t>No more regrets</t>
  </si>
  <si>
    <t>Waiting Room</t>
  </si>
  <si>
    <t>Jenevieve, Jordan Ward</t>
  </si>
  <si>
    <t>Pulling Leaves Off Trees</t>
  </si>
  <si>
    <t>MUTT THAT BIH</t>
  </si>
  <si>
    <t>Denzel Curry, 1900Rugrat, Key Nyata</t>
  </si>
  <si>
    <t>🩹</t>
  </si>
  <si>
    <t>sun keeps on shining</t>
  </si>
  <si>
    <t>almost monday</t>
  </si>
  <si>
    <t>Lucky Denver Mint</t>
  </si>
  <si>
    <t>Sky</t>
  </si>
  <si>
    <t>Playboi Carti</t>
  </si>
  <si>
    <t>Wherever you are</t>
  </si>
  <si>
    <t>Farrington, Tory lanes</t>
  </si>
  <si>
    <t>Elvira</t>
  </si>
  <si>
    <t>Oscar Maydon, Gabito Ballesteros, Chino Pacas</t>
  </si>
  <si>
    <t>Supermane</t>
  </si>
  <si>
    <t>Ramzey, Kwam.E</t>
  </si>
  <si>
    <t>🪙</t>
  </si>
  <si>
    <t>A Praise Chorus</t>
  </si>
  <si>
    <t>Jimmy Eat World, Davey Vonbohlen</t>
  </si>
  <si>
    <t>Slow song</t>
  </si>
  <si>
    <t>The knocks, dragonette</t>
  </si>
  <si>
    <t>Where'd all the time go</t>
  </si>
  <si>
    <t>Dr dog</t>
  </si>
  <si>
    <t>SUMMER'S EDGE</t>
  </si>
  <si>
    <t>Adolf Nomura</t>
  </si>
  <si>
    <t>Sideways</t>
  </si>
  <si>
    <t>Gordo, Drake</t>
  </si>
  <si>
    <t>Drop Zone</t>
  </si>
  <si>
    <t>Curren$y, Harry Fraud</t>
  </si>
  <si>
    <t>😾</t>
  </si>
  <si>
    <t>Cecilia</t>
  </si>
  <si>
    <t>Simon &amp; Garfunkel</t>
  </si>
  <si>
    <t>Long Beach</t>
  </si>
  <si>
    <t>Kota the Friend, Hello O'shay, Alex Banin</t>
  </si>
  <si>
    <t>We never dated</t>
  </si>
  <si>
    <t>Sombr</t>
  </si>
  <si>
    <t>DON'T BELIEVE IT</t>
  </si>
  <si>
    <t xml:space="preserve">John Summit, Absolutely </t>
  </si>
  <si>
    <t>How Good Does It Feel</t>
  </si>
  <si>
    <t>Empires</t>
  </si>
  <si>
    <t>Malcolm In The Middle</t>
  </si>
  <si>
    <t>Malcolm Todd</t>
  </si>
  <si>
    <t>🦬</t>
  </si>
  <si>
    <t>From Down Here</t>
  </si>
  <si>
    <t>CHEEZY STREET</t>
  </si>
  <si>
    <t>Louie Zong, Dante NK</t>
  </si>
  <si>
    <t>Black Madonna</t>
  </si>
  <si>
    <t>Cage the Elephant</t>
  </si>
  <si>
    <t>SXMPRA, Ski Mask The Slump God</t>
  </si>
  <si>
    <r>
      <rPr>
        <rFont val="Calibri"/>
        <b/>
        <color theme="1"/>
        <sz val="11.0"/>
      </rPr>
      <t xml:space="preserve">Theme:  </t>
    </r>
    <r>
      <rPr>
        <rFont val="Calibri"/>
        <b val="0"/>
        <color theme="1"/>
        <sz val="11.0"/>
      </rPr>
      <t>Songs that make you want to drive 100 mph</t>
    </r>
  </si>
  <si>
    <t>MODELITO</t>
  </si>
  <si>
    <t>Mora, YOVNGCHIMI</t>
  </si>
  <si>
    <t>Crash Yo Whip Music</t>
  </si>
  <si>
    <t>Shore House</t>
  </si>
  <si>
    <t>David Michael Spear</t>
  </si>
  <si>
    <t>Black Betty</t>
  </si>
  <si>
    <t>Ram Jam</t>
  </si>
  <si>
    <t>kidsgonemad!</t>
  </si>
  <si>
    <t>ISOxo</t>
  </si>
  <si>
    <t>Blur</t>
  </si>
  <si>
    <t>RockWave</t>
  </si>
  <si>
    <t>Next To Normal</t>
  </si>
  <si>
    <t>Lucious</t>
  </si>
  <si>
    <t>Damascus</t>
  </si>
  <si>
    <t>Gorillaz, Omar Souleyman, Yasiin Bey</t>
  </si>
  <si>
    <t>🥐</t>
  </si>
  <si>
    <t>Chaos Ball</t>
  </si>
  <si>
    <t>Bike Routes</t>
  </si>
  <si>
    <t>SPARKLE</t>
  </si>
  <si>
    <t>ビクター・ファンタスティック・オーケストラ</t>
  </si>
  <si>
    <t>Grove St. Party</t>
  </si>
  <si>
    <t>Waka Flocka Flame, Kebo Gotti</t>
  </si>
  <si>
    <t>VAMONOS</t>
  </si>
  <si>
    <t>Astro, Ghali</t>
  </si>
  <si>
    <t>1st clown award</t>
  </si>
  <si>
    <t>Amoeba</t>
  </si>
  <si>
    <t>Last Words</t>
  </si>
  <si>
    <t>Kenny Beats</t>
  </si>
  <si>
    <t>🔪</t>
  </si>
  <si>
    <t>Feel Like Makin' Love</t>
  </si>
  <si>
    <t>Bad Company</t>
  </si>
  <si>
    <t>Wayside</t>
  </si>
  <si>
    <t>Ninajirachi</t>
  </si>
  <si>
    <t>Ode To The Mets</t>
  </si>
  <si>
    <t>The Strokes</t>
  </si>
  <si>
    <t>Too Good</t>
  </si>
  <si>
    <t>Breathe Carolina</t>
  </si>
  <si>
    <t>2nd HOF</t>
  </si>
  <si>
    <t>Drop</t>
  </si>
  <si>
    <t>Corneluis</t>
  </si>
  <si>
    <t>TELEPATHY LOVE</t>
  </si>
  <si>
    <t>BNYX®, Clara La San</t>
  </si>
  <si>
    <t>🫎</t>
  </si>
  <si>
    <t>The Best of My Love</t>
  </si>
  <si>
    <t>Eagles</t>
  </si>
  <si>
    <t>Out Of Time</t>
  </si>
  <si>
    <t>Machu Pichu</t>
  </si>
  <si>
    <t xml:space="preserve">buzzin </t>
  </si>
  <si>
    <t>Chanpan</t>
  </si>
  <si>
    <t>Hawái - Remix</t>
  </si>
  <si>
    <t>Maluma, The Weeknd</t>
  </si>
  <si>
    <t>LIFE KEEPS GOING</t>
  </si>
  <si>
    <t>Genesis Owusu</t>
  </si>
  <si>
    <t>🥪</t>
  </si>
  <si>
    <t>Sleepin' With The Fish</t>
  </si>
  <si>
    <t>Fat Mezz</t>
  </si>
  <si>
    <t>Marcel</t>
  </si>
  <si>
    <t>Her's</t>
  </si>
  <si>
    <t>Piggy pink</t>
  </si>
  <si>
    <t>Hotel ugly</t>
  </si>
  <si>
    <t>I Like It</t>
  </si>
  <si>
    <t>Enrique Iglesias, Pitbull</t>
  </si>
  <si>
    <t>Waves On Every Chain</t>
  </si>
  <si>
    <t>Babyface Ray</t>
  </si>
  <si>
    <t>Axxtion</t>
  </si>
  <si>
    <t>👩🏼‍⚖️</t>
  </si>
  <si>
    <t>Favourite</t>
  </si>
  <si>
    <t>Fontaines D.C.</t>
  </si>
  <si>
    <t>Chronic Sunshine</t>
  </si>
  <si>
    <t>Cosmo Pyke</t>
  </si>
  <si>
    <t>Is it true</t>
  </si>
  <si>
    <t>Giddy Up</t>
  </si>
  <si>
    <r>
      <rPr>
        <rFont val="Calibri"/>
        <b/>
        <color theme="1"/>
        <sz val="11.0"/>
      </rPr>
      <t xml:space="preserve">Theme: </t>
    </r>
    <r>
      <rPr>
        <rFont val="Calibri"/>
        <b val="0"/>
        <color theme="1"/>
        <sz val="11.0"/>
      </rPr>
      <t>Easy Read</t>
    </r>
  </si>
  <si>
    <t>i just banged a snus in canada water</t>
  </si>
  <si>
    <t>Television</t>
  </si>
  <si>
    <t>The Reunion Show</t>
  </si>
  <si>
    <t>BONUS - Love Sosa</t>
  </si>
  <si>
    <t>White Dudes</t>
  </si>
  <si>
    <t>⚽</t>
  </si>
  <si>
    <t>Running</t>
  </si>
  <si>
    <t>Dahi, Childish Gambino</t>
  </si>
  <si>
    <t>Golden</t>
  </si>
  <si>
    <t>K-pop demon hunters</t>
  </si>
  <si>
    <t>Circles</t>
  </si>
  <si>
    <t>Digitalism</t>
  </si>
  <si>
    <t>Big Dawg Status</t>
  </si>
  <si>
    <t>BossMan Dlow, OJ Da Juiceman</t>
  </si>
  <si>
    <t>🧃</t>
  </si>
  <si>
    <t>The Bottom of It</t>
  </si>
  <si>
    <t>Fruit Bats</t>
  </si>
  <si>
    <t>Everything's Magic</t>
  </si>
  <si>
    <t>Angels &amp; Airwaves</t>
  </si>
  <si>
    <t>Breathless</t>
  </si>
  <si>
    <t>The hails</t>
  </si>
  <si>
    <t>Ultramoon</t>
  </si>
  <si>
    <t>camoufly</t>
  </si>
  <si>
    <t>Not In Love</t>
  </si>
  <si>
    <t>Crystal Castles, Robert Smith</t>
  </si>
  <si>
    <t>Blah Blah</t>
  </si>
  <si>
    <t>Joji</t>
  </si>
  <si>
    <t>🤏🏼</t>
  </si>
  <si>
    <t>Tequila &amp; Smoke</t>
  </si>
  <si>
    <t>ROME</t>
  </si>
  <si>
    <t>Wannacry</t>
  </si>
  <si>
    <t>Ninajirachi , Porter Robinson</t>
  </si>
  <si>
    <t>You are the right one</t>
  </si>
  <si>
    <t>LVL 16 KASSADIN</t>
  </si>
  <si>
    <t>kyoto</t>
  </si>
  <si>
    <t>QUÉDATE BEBÉ</t>
  </si>
  <si>
    <t>Groupo Frontera</t>
  </si>
  <si>
    <t>CONSTANTLY</t>
  </si>
  <si>
    <t>Tiffany Day, Slayr</t>
  </si>
  <si>
    <t>🫩</t>
  </si>
  <si>
    <t>Enormous Penis</t>
  </si>
  <si>
    <t>Da Vinvi's Notebook</t>
  </si>
  <si>
    <t>Everything Left Out</t>
  </si>
  <si>
    <t>Tuesday</t>
  </si>
  <si>
    <t>Movin out</t>
  </si>
  <si>
    <t>bbydoll</t>
  </si>
  <si>
    <t>Memory</t>
  </si>
  <si>
    <t>Sugarcult</t>
  </si>
  <si>
    <t>Not Your Fool</t>
  </si>
  <si>
    <t>levitation room</t>
  </si>
  <si>
    <t>🍖</t>
  </si>
  <si>
    <t>Calling After Me</t>
  </si>
  <si>
    <t>The Party</t>
  </si>
  <si>
    <t>Portraits of Tracy</t>
  </si>
  <si>
    <t>Run river north</t>
  </si>
  <si>
    <t>Freefall</t>
  </si>
  <si>
    <t>KAYTRANDA, Durand Bernarr</t>
  </si>
  <si>
    <t>Tú Con Él</t>
  </si>
  <si>
    <t>Harley Race</t>
  </si>
  <si>
    <t>Smoke DZA, Premo Rice</t>
  </si>
  <si>
    <t>😮‍💨</t>
  </si>
  <si>
    <t>The Implication</t>
  </si>
  <si>
    <t>Parrotfish</t>
  </si>
  <si>
    <t>Forevermine</t>
  </si>
  <si>
    <t>Harrison Borts</t>
  </si>
  <si>
    <t>Indie</t>
  </si>
  <si>
    <t>Kytes</t>
  </si>
  <si>
    <t>Eenie Meenie</t>
  </si>
  <si>
    <t>Justin Beiber, Sean Kingston</t>
  </si>
  <si>
    <t>THEME: Guilty Pleasure</t>
  </si>
  <si>
    <t>Doja Cat</t>
  </si>
  <si>
    <t>Calling My Name</t>
  </si>
  <si>
    <t>Drake</t>
  </si>
  <si>
    <t>🐅</t>
  </si>
  <si>
    <t>House Tour</t>
  </si>
  <si>
    <t>Sabrina Carpenter</t>
  </si>
  <si>
    <t>all I know</t>
  </si>
  <si>
    <t>mgk, Trippie Redd</t>
  </si>
  <si>
    <t>Fade Away</t>
  </si>
  <si>
    <t>Logic</t>
  </si>
  <si>
    <t>Closer</t>
  </si>
  <si>
    <t>Ne-Yo</t>
  </si>
  <si>
    <t>The Core</t>
  </si>
  <si>
    <t>Babamars</t>
  </si>
  <si>
    <t>Dilemma/Estrel</t>
  </si>
  <si>
    <t>Gianni Suave, OG Keemo</t>
  </si>
  <si>
    <t>🥙</t>
  </si>
  <si>
    <t>Rubble to Rubble</t>
  </si>
  <si>
    <t>Wilderado</t>
  </si>
  <si>
    <t>WHAT ARE YOU SAYING?</t>
  </si>
  <si>
    <t>BRONZE AVERY</t>
  </si>
  <si>
    <t>Run your mouth</t>
  </si>
  <si>
    <t>Stop Signs are Merely Suggestions</t>
  </si>
  <si>
    <t>Moving Boxes</t>
  </si>
  <si>
    <t>Paces</t>
  </si>
  <si>
    <t>Aterciopelados</t>
  </si>
  <si>
    <t>Mr. Train Conductor</t>
  </si>
  <si>
    <t>Jalen Ngonda</t>
  </si>
  <si>
    <t>🧷</t>
  </si>
  <si>
    <t>Love In Every Direction</t>
  </si>
  <si>
    <t>Smidley</t>
  </si>
  <si>
    <t>bluetooth</t>
  </si>
  <si>
    <t>piri &amp; tommy</t>
  </si>
  <si>
    <t>Kill the geese</t>
  </si>
  <si>
    <t>So Good</t>
  </si>
  <si>
    <t>Weston Estate</t>
  </si>
  <si>
    <t>Fall Into Place</t>
  </si>
  <si>
    <t>Apartment</t>
  </si>
  <si>
    <t>Decimals</t>
  </si>
  <si>
    <t>Rico Ace, EsDeeKid</t>
  </si>
  <si>
    <t>📸</t>
  </si>
  <si>
    <t>Vanilla</t>
  </si>
  <si>
    <t>flipturn</t>
  </si>
  <si>
    <t>Blocked</t>
  </si>
  <si>
    <t>G Luné</t>
  </si>
  <si>
    <t>You owe me</t>
  </si>
  <si>
    <t>POINT-BLANK</t>
  </si>
  <si>
    <t>Davin Glover, 1nonly</t>
  </si>
  <si>
    <t>Hearts On Fire</t>
  </si>
  <si>
    <t>Cut Copy</t>
  </si>
  <si>
    <t>only the best</t>
  </si>
  <si>
    <t>horsegiirL</t>
  </si>
  <si>
    <t>🐴</t>
  </si>
  <si>
    <t>Saw You Stand</t>
  </si>
  <si>
    <t>Melatonin</t>
  </si>
  <si>
    <t>Actress</t>
  </si>
  <si>
    <t>Never ending fall</t>
  </si>
  <si>
    <t>High Klassified, Zach Zoya</t>
  </si>
  <si>
    <t>I Can't Wait</t>
  </si>
  <si>
    <t>Phoebe Bridgers</t>
  </si>
  <si>
    <t>Back in the Lead</t>
  </si>
  <si>
    <t>femdot., Bawo, Cozz</t>
  </si>
  <si>
    <t xml:space="preserve"> 🪵</t>
  </si>
  <si>
    <t>She Calls Me Back</t>
  </si>
  <si>
    <t>Noah Kahan, Kacey Musgraves</t>
  </si>
  <si>
    <t>Kairi</t>
  </si>
  <si>
    <t>Yoko Shimomura</t>
  </si>
  <si>
    <t>Bed head</t>
  </si>
  <si>
    <t>Bali Brigada</t>
  </si>
  <si>
    <t>Love me forver!</t>
  </si>
  <si>
    <t>Ado</t>
  </si>
  <si>
    <r>
      <rPr>
        <rFont val="Calibri"/>
        <b/>
        <color theme="1"/>
        <sz val="11.0"/>
      </rPr>
      <t xml:space="preserve">Theme: </t>
    </r>
    <r>
      <rPr>
        <rFont val="Calibri"/>
        <b val="0"/>
        <color theme="1"/>
        <sz val="11.0"/>
      </rPr>
      <t>ウィーブの歌</t>
    </r>
  </si>
  <si>
    <t>Re:Re:</t>
  </si>
  <si>
    <t>ASIAN KUNG-FU GENERATION</t>
  </si>
  <si>
    <t>OUT THERE: Takin' Off</t>
  </si>
  <si>
    <t>Hiromi, Sonicwonder</t>
  </si>
  <si>
    <t>⚛️</t>
  </si>
  <si>
    <t>ODDTAXI</t>
  </si>
  <si>
    <t>Skirt&amp;PUMPEE, Skirt, PUNPEE</t>
  </si>
  <si>
    <t>Mela!</t>
  </si>
  <si>
    <t>Ryoukuoushoku Shakai</t>
  </si>
  <si>
    <t>インフェルノ</t>
  </si>
  <si>
    <t>Mrs. Green Apple</t>
  </si>
  <si>
    <t>ARE YOU WITH THAT?</t>
  </si>
  <si>
    <t>Love is a Dog From Hell .</t>
  </si>
  <si>
    <t>Equiano</t>
  </si>
  <si>
    <t>E L U C I D, Sebb Bash, Shabaka Hutchings</t>
  </si>
  <si>
    <t>🪈</t>
  </si>
  <si>
    <t>Hardy</t>
  </si>
  <si>
    <t>Rostam, Clairo</t>
  </si>
  <si>
    <t>STAY GOLD</t>
  </si>
  <si>
    <t>Hi-STANDARD</t>
  </si>
  <si>
    <t>Olive</t>
  </si>
  <si>
    <t>Rec hall</t>
  </si>
  <si>
    <t>Dreaming</t>
  </si>
  <si>
    <t>T-Pain</t>
  </si>
  <si>
    <t>Noche Without You</t>
  </si>
  <si>
    <t>Skrillex, Feid</t>
  </si>
  <si>
    <t>Philly's been good to me</t>
  </si>
  <si>
    <t>Kurt Vile</t>
  </si>
  <si>
    <t>Fur Elise</t>
  </si>
  <si>
    <t>Blondshell</t>
  </si>
  <si>
    <t>Apple Pie</t>
  </si>
  <si>
    <t>Superprism</t>
  </si>
  <si>
    <t>Heartpiece</t>
  </si>
  <si>
    <t>helloworld</t>
  </si>
  <si>
    <t>DIE TRYING</t>
  </si>
  <si>
    <t>PARTYNEXTDOOR, Drake, Yebba</t>
  </si>
  <si>
    <t>SERIOUS BUSINESS</t>
  </si>
  <si>
    <t>Slew</t>
  </si>
  <si>
    <t>🕴🏼</t>
  </si>
  <si>
    <t>Mrs. Hollywood</t>
  </si>
  <si>
    <t>Go-Jo</t>
  </si>
  <si>
    <t>CASTLE OF GLASS</t>
  </si>
  <si>
    <t>Dirty deeds done dirt cheap</t>
  </si>
  <si>
    <t>AC/DC</t>
  </si>
  <si>
    <t>burbank house</t>
  </si>
  <si>
    <t>tsubi club</t>
  </si>
  <si>
    <t>On Me</t>
  </si>
  <si>
    <t>6LACK, Odeal</t>
  </si>
  <si>
    <t>The Way I Love You - Acoustic</t>
  </si>
  <si>
    <t>Jorja Smith</t>
  </si>
  <si>
    <t>🧣</t>
  </si>
  <si>
    <t>Bitch I'm Sideneck</t>
  </si>
  <si>
    <t>Sideneck</t>
  </si>
  <si>
    <t>Look Like My Mama</t>
  </si>
  <si>
    <t>AZ Chike, Tyler, The Creator</t>
  </si>
  <si>
    <t>🐙</t>
  </si>
  <si>
    <t>The 1</t>
  </si>
  <si>
    <t>muque</t>
  </si>
  <si>
    <t>UFO</t>
  </si>
  <si>
    <t>UFOs, Braxe + Falcon, Phoenix</t>
  </si>
  <si>
    <t>Cocaine Coltraine</t>
  </si>
  <si>
    <t>Rome Streetz</t>
  </si>
  <si>
    <t>🎺</t>
  </si>
  <si>
    <t>Cotton</t>
  </si>
  <si>
    <t>The Red</t>
  </si>
  <si>
    <t>Chevelle</t>
  </si>
  <si>
    <t>👕</t>
  </si>
  <si>
    <r>
      <rPr>
        <rFont val="Calibri"/>
        <color theme="1"/>
        <sz val="11.0"/>
      </rPr>
      <t xml:space="preserve">From The Start </t>
    </r>
    <r>
      <rPr>
        <rFont val="Calibri"/>
        <color theme="1"/>
        <sz val="8.0"/>
      </rPr>
      <t>(Laufey cover)</t>
    </r>
  </si>
  <si>
    <t>THEME: Copy Cat</t>
  </si>
  <si>
    <r>
      <rPr>
        <rFont val="Calibri"/>
        <color theme="1"/>
        <sz val="11.0"/>
      </rPr>
      <t xml:space="preserve">No Angels </t>
    </r>
    <r>
      <rPr>
        <rFont val="Calibri"/>
        <color theme="1"/>
        <sz val="8.0"/>
      </rPr>
      <t>(TLC &amp; the xx cover)</t>
    </r>
  </si>
  <si>
    <t>Bastille, Ella Eyre</t>
  </si>
  <si>
    <r>
      <rPr>
        <rFont val="Calibri"/>
        <color theme="1"/>
        <sz val="11.0"/>
      </rPr>
      <t xml:space="preserve">Special </t>
    </r>
    <r>
      <rPr>
        <rFont val="Calibri"/>
        <color theme="1"/>
        <sz val="8.0"/>
      </rPr>
      <t>(cover of D.R.A.M. Sings Special by Chance The Rapper)</t>
    </r>
  </si>
  <si>
    <t>DRAM</t>
  </si>
  <si>
    <t>🎳</t>
  </si>
  <si>
    <r>
      <rPr>
        <rFont val="Calibri"/>
        <color theme="1"/>
        <sz val="11.0"/>
      </rPr>
      <t xml:space="preserve">I Melt With You </t>
    </r>
    <r>
      <rPr>
        <rFont val="Calibri"/>
        <color theme="1"/>
        <sz val="8.0"/>
      </rPr>
      <t>(Modern English cover)</t>
    </r>
  </si>
  <si>
    <t>Bowling For Soup</t>
  </si>
  <si>
    <r>
      <rPr>
        <rFont val="Calibri"/>
        <color theme="1"/>
        <sz val="11.0"/>
      </rPr>
      <t xml:space="preserve">Behind Blue Eyes </t>
    </r>
    <r>
      <rPr>
        <rFont val="Calibri"/>
        <color theme="1"/>
        <sz val="8.0"/>
      </rPr>
      <t>(The Who cover)</t>
    </r>
  </si>
  <si>
    <t>Limp Bizkit</t>
  </si>
  <si>
    <t>🍲</t>
  </si>
  <si>
    <t>祝福</t>
  </si>
  <si>
    <t>YOASOBI</t>
  </si>
  <si>
    <t>4Eva Timeless (Side A)</t>
  </si>
  <si>
    <t>Back Up</t>
  </si>
  <si>
    <t>Nick Grant, BJ The Chicago Kid</t>
  </si>
  <si>
    <t>🧽</t>
  </si>
  <si>
    <t>Only for You</t>
  </si>
  <si>
    <t>Heartless Bastards</t>
  </si>
  <si>
    <t>What Once Was</t>
  </si>
  <si>
    <t>🚘</t>
  </si>
  <si>
    <t>悲しみがとまらない - I CAN'T STOP THE LONELINESS</t>
  </si>
  <si>
    <t>Fever Fever</t>
  </si>
  <si>
    <t>Melody Club</t>
  </si>
  <si>
    <t>GGG</t>
  </si>
  <si>
    <t>By Storm</t>
  </si>
  <si>
    <t>👋🏼</t>
  </si>
  <si>
    <t>Pepper</t>
  </si>
  <si>
    <t>Death Cab for Cutie</t>
  </si>
  <si>
    <t>Fantasize</t>
  </si>
  <si>
    <t>Adéla</t>
  </si>
  <si>
    <t>⛈️</t>
  </si>
  <si>
    <t>#NeverForget #Kirk</t>
  </si>
  <si>
    <t>We</t>
  </si>
  <si>
    <t>Are</t>
  </si>
  <si>
    <t>Charlie</t>
  </si>
  <si>
    <t>Kirk</t>
  </si>
  <si>
    <t>Carry</t>
  </si>
  <si>
    <t>The</t>
  </si>
  <si>
    <t>Flame</t>
  </si>
  <si>
    <t>MEMORIAS</t>
  </si>
  <si>
    <t>Mora, JHAYCO</t>
  </si>
  <si>
    <t>Theme Day: Anniversary Artist Highlight</t>
  </si>
  <si>
    <t>3x</t>
  </si>
  <si>
    <t>Jim Legxacy, Dave</t>
  </si>
  <si>
    <t>My Life Is Loving You</t>
  </si>
  <si>
    <t>Portraits Of Tracy</t>
  </si>
  <si>
    <t>🎡</t>
  </si>
  <si>
    <t>Hell At Night (feat. Ella Langley)</t>
  </si>
  <si>
    <t>BigXThaPlug, Ella Langley</t>
  </si>
  <si>
    <t>Slide Tackle</t>
  </si>
  <si>
    <t>🔌</t>
  </si>
  <si>
    <t>Sad Sad City</t>
  </si>
  <si>
    <t>Ghostland Observatory</t>
  </si>
  <si>
    <t>Pogo</t>
  </si>
  <si>
    <t>Damn Conductor</t>
  </si>
  <si>
    <t>Samy Deluxe, Conductor Williams</t>
  </si>
  <si>
    <t>🔭</t>
  </si>
  <si>
    <t>Eminence Front</t>
  </si>
  <si>
    <t>The Who</t>
  </si>
  <si>
    <t>State Your Name</t>
  </si>
  <si>
    <t>Starjunk 95</t>
  </si>
  <si>
    <t>😖</t>
  </si>
  <si>
    <t>Marinate</t>
  </si>
  <si>
    <t>Zack Fox</t>
  </si>
  <si>
    <r>
      <rPr>
        <rFont val="Calibri"/>
        <b/>
        <color theme="1"/>
        <sz val="11.0"/>
      </rPr>
      <t xml:space="preserve">Theme: </t>
    </r>
    <r>
      <rPr>
        <rFont val="Calibri"/>
        <b val="0"/>
        <color theme="1"/>
        <sz val="11.0"/>
      </rPr>
      <t>Ayo?</t>
    </r>
  </si>
  <si>
    <t>No Meds</t>
  </si>
  <si>
    <t>Kodak Black</t>
  </si>
  <si>
    <t>Underworld</t>
  </si>
  <si>
    <t>ShittyBoyz</t>
  </si>
  <si>
    <t>👵🏼</t>
  </si>
  <si>
    <t>Next Big Thing</t>
  </si>
  <si>
    <t>Throttle</t>
  </si>
  <si>
    <t>Bedroom Talk</t>
  </si>
  <si>
    <t>🫃🏼</t>
  </si>
  <si>
    <t>Cosmic</t>
  </si>
  <si>
    <t>Celine Wanyi</t>
  </si>
  <si>
    <t>On The Ground</t>
  </si>
  <si>
    <t>oscar med k</t>
  </si>
  <si>
    <t>DANCING WITHOUT MOVING</t>
  </si>
  <si>
    <t>Quadeca</t>
  </si>
  <si>
    <t>🐎</t>
  </si>
  <si>
    <t>She Said She Didn't Want Fries (feat. Matty Mullins)</t>
  </si>
  <si>
    <t>Wendy's, Matty Mullins</t>
  </si>
  <si>
    <t>Winny</t>
  </si>
  <si>
    <t>Fred Again.., Sammy Virji, Winny</t>
  </si>
  <si>
    <t>🪐</t>
  </si>
  <si>
    <t>BA</t>
  </si>
  <si>
    <t>Quavo, Future</t>
  </si>
  <si>
    <t>un x100to</t>
  </si>
  <si>
    <t>Groupo Frontera, Bad Bunny</t>
  </si>
  <si>
    <t>Jackpot</t>
  </si>
  <si>
    <t>Lip Critic</t>
  </si>
  <si>
    <t>🥖</t>
  </si>
  <si>
    <t>Toc Toc</t>
  </si>
  <si>
    <t>Patrick Sébastien</t>
  </si>
  <si>
    <t>zehnvonzehn</t>
  </si>
  <si>
    <t>franz1</t>
  </si>
  <si>
    <t>🤼‍♂️</t>
  </si>
  <si>
    <t>Si No Es 62</t>
  </si>
  <si>
    <t>Huan62, Hunter 164</t>
  </si>
  <si>
    <t>Aguaráchate</t>
  </si>
  <si>
    <t>Monsieur Periné</t>
  </si>
  <si>
    <t>Dance Cracka</t>
  </si>
  <si>
    <t>1900Rugrat, BLP KOSHER</t>
  </si>
  <si>
    <t>Payback Is A Dog</t>
  </si>
  <si>
    <t>The Stlistics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</si>
</sst>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09]d\-mmm\-yyyy"/>
    <numFmt numFmtId="165" formatCode="d-mmm-yyyy"/>
    <numFmt numFmtId="166" formatCode="0.0"/>
    <numFmt numFmtId="167" formatCode="m/d"/>
    <numFmt numFmtId="168" formatCode="m/d/yyyy"/>
    <numFmt numFmtId="169" formatCode="d-mmm"/>
    <numFmt numFmtId="170" formatCode="d-mmmm-yyyy"/>
    <numFmt numFmtId="171" formatCode="m/d/yy"/>
  </numFmts>
  <fonts count="25">
    <font>
      <sz val="11.0"/>
      <color theme="1"/>
      <name val="Calibri"/>
      <scheme val="minor"/>
    </font>
    <font>
      <sz val="11.0"/>
      <color theme="1"/>
      <name val="Calibri"/>
    </font>
    <font>
      <color theme="1"/>
      <name val="Calibri"/>
      <scheme val="minor"/>
    </font>
    <font>
      <sz val="11.0"/>
      <color theme="1"/>
      <name val="Arial"/>
    </font>
    <font>
      <sz val="11.0"/>
      <color theme="1"/>
      <name val="Comic Sans MS"/>
    </font>
    <font>
      <sz val="11.0"/>
      <color theme="0"/>
      <name val="Calibri"/>
    </font>
    <font/>
    <font>
      <color theme="1"/>
      <name val="Arial"/>
    </font>
    <font>
      <sz val="11.0"/>
      <color rgb="FFFFFFFF"/>
      <name val="Calibri"/>
    </font>
    <font>
      <color rgb="FFFFFFFF"/>
      <name val="Calibri"/>
      <scheme val="minor"/>
    </font>
    <font>
      <b/>
      <sz val="11.0"/>
      <color theme="1"/>
      <name val="Calibri"/>
    </font>
    <font>
      <u/>
      <sz val="11.0"/>
      <color rgb="FF0000FF"/>
      <name val="Arial"/>
    </font>
    <font>
      <u/>
      <sz val="11.0"/>
      <color theme="10"/>
      <name val="Arial"/>
    </font>
    <font>
      <u/>
      <color rgb="FF0000FF"/>
    </font>
    <font>
      <b/>
      <color theme="1"/>
      <name val="Calibri"/>
      <scheme val="minor"/>
    </font>
    <font>
      <color rgb="FFF1C232"/>
      <name val="Calibri"/>
      <scheme val="minor"/>
    </font>
    <font>
      <sz val="6.0"/>
      <color theme="1"/>
      <name val="Calibri"/>
    </font>
    <font>
      <sz val="11.0"/>
      <color rgb="FF000000"/>
      <name val="&quot;Open Sans&quot;"/>
    </font>
    <font>
      <sz val="11.0"/>
      <color rgb="FF9C0006"/>
      <name val="Calibri"/>
    </font>
    <font>
      <sz val="10.0"/>
      <color theme="1"/>
      <name val="Calibri"/>
    </font>
    <font>
      <sz val="8.0"/>
      <color theme="1"/>
      <name val="Calibri"/>
    </font>
    <font>
      <u/>
      <color rgb="FF0000FF"/>
    </font>
    <font>
      <u/>
      <color rgb="FF0563C1"/>
    </font>
    <font>
      <b/>
      <sz val="11.0"/>
      <color rgb="FFE69138"/>
      <name val="Calibri"/>
    </font>
    <font>
      <b/>
      <i/>
      <sz val="45.0"/>
      <color theme="1"/>
      <name val="Calibri"/>
    </font>
  </fonts>
  <fills count="28">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9FC5E8"/>
        <bgColor rgb="FF9FC5E8"/>
      </patternFill>
    </fill>
    <fill>
      <patternFill patternType="solid">
        <fgColor rgb="FF00FF00"/>
        <bgColor rgb="FF00FF00"/>
      </patternFill>
    </fill>
    <fill>
      <patternFill patternType="solid">
        <fgColor rgb="FFB4A7D6"/>
        <bgColor rgb="FFB4A7D6"/>
      </patternFill>
    </fill>
    <fill>
      <patternFill patternType="solid">
        <fgColor rgb="FFFF0000"/>
        <bgColor rgb="FFFF0000"/>
      </patternFill>
    </fill>
    <fill>
      <patternFill patternType="solid">
        <fgColor rgb="FFDD7E6B"/>
        <bgColor rgb="FFDD7E6B"/>
      </patternFill>
    </fill>
    <fill>
      <patternFill patternType="solid">
        <fgColor rgb="FF0C0C0C"/>
        <bgColor rgb="FF0C0C0C"/>
      </patternFill>
    </fill>
    <fill>
      <patternFill patternType="solid">
        <fgColor rgb="FFFFFFFF"/>
        <bgColor rgb="FFFFFFFF"/>
      </patternFill>
    </fill>
    <fill>
      <patternFill patternType="solid">
        <fgColor theme="4"/>
        <bgColor theme="4"/>
      </patternFill>
    </fill>
    <fill>
      <patternFill patternType="solid">
        <fgColor rgb="FFFFC7CE"/>
        <bgColor rgb="FFFFC7CE"/>
      </patternFill>
    </fill>
    <fill>
      <patternFill patternType="solid">
        <fgColor theme="0"/>
        <bgColor theme="0"/>
      </patternFill>
    </fill>
    <fill>
      <patternFill patternType="solid">
        <fgColor rgb="FFD9E2F3"/>
        <bgColor rgb="FFD9E2F3"/>
      </patternFill>
    </fill>
    <fill>
      <patternFill patternType="solid">
        <fgColor rgb="FFB4C6E7"/>
        <bgColor rgb="FFB4C6E7"/>
      </patternFill>
    </fill>
    <fill>
      <patternFill patternType="solid">
        <fgColor rgb="FF93C47D"/>
        <bgColor rgb="FF93C47D"/>
      </patternFill>
    </fill>
    <fill>
      <patternFill patternType="solid">
        <fgColor rgb="FFFFE599"/>
        <bgColor rgb="FFFFE599"/>
      </patternFill>
    </fill>
    <fill>
      <patternFill patternType="solid">
        <fgColor rgb="FFF6B26B"/>
        <bgColor rgb="FFF6B26B"/>
      </patternFill>
    </fill>
    <fill>
      <patternFill patternType="solid">
        <fgColor rgb="FFB7E1CD"/>
        <bgColor rgb="FFB7E1CD"/>
      </patternFill>
    </fill>
    <fill>
      <patternFill patternType="solid">
        <fgColor rgb="FFA5A5A5"/>
        <bgColor rgb="FFA5A5A5"/>
      </patternFill>
    </fill>
    <fill>
      <patternFill patternType="solid">
        <fgColor rgb="FFB7B7B7"/>
        <bgColor rgb="FFB7B7B7"/>
      </patternFill>
    </fill>
    <fill>
      <patternFill patternType="solid">
        <fgColor rgb="FFE67C73"/>
        <bgColor rgb="FFE67C73"/>
      </patternFill>
    </fill>
    <fill>
      <patternFill patternType="solid">
        <fgColor rgb="FFB6D7A8"/>
        <bgColor rgb="FFB6D7A8"/>
      </patternFill>
    </fill>
    <fill>
      <patternFill patternType="solid">
        <fgColor rgb="FFFFFF00"/>
        <bgColor rgb="FFFFFF00"/>
      </patternFill>
    </fill>
    <fill>
      <patternFill patternType="solid">
        <fgColor rgb="FF999999"/>
        <bgColor rgb="FF999999"/>
      </patternFill>
    </fill>
    <fill>
      <patternFill patternType="solid">
        <fgColor rgb="FF202225"/>
        <bgColor rgb="FF202225"/>
      </patternFill>
    </fill>
    <fill>
      <patternFill patternType="solid">
        <fgColor rgb="FF63BE7B"/>
        <bgColor rgb="FF63BE7B"/>
      </patternFill>
    </fill>
  </fills>
  <borders count="61">
    <border/>
    <border>
      <left style="medium">
        <color rgb="FF000000"/>
      </left>
      <top style="medium">
        <color rgb="FF000000"/>
      </top>
    </border>
    <border>
      <left style="medium">
        <color rgb="FF000000"/>
      </left>
      <right/>
      <top style="medium">
        <color rgb="FF000000"/>
      </top>
      <bottom/>
    </border>
    <border>
      <top style="medium">
        <color rgb="FF000000"/>
      </top>
    </border>
    <border>
      <left/>
      <right/>
      <top/>
      <bottom/>
    </border>
    <border>
      <right style="medium">
        <color rgb="FF000000"/>
      </right>
      <top style="medium">
        <color rgb="FF000000"/>
      </top>
    </border>
    <border>
      <left/>
      <right style="medium">
        <color rgb="FF000000"/>
      </right>
      <top style="medium">
        <color rgb="FF000000"/>
      </top>
      <bottom/>
    </border>
    <border>
      <top style="thin">
        <color theme="0"/>
      </top>
    </border>
    <border>
      <left style="medium">
        <color rgb="FF000000"/>
      </left>
    </border>
    <border>
      <left style="thin">
        <color rgb="FF000000"/>
      </left>
      <right style="thin">
        <color rgb="FF000000"/>
      </right>
      <top style="thin">
        <color rgb="FF000000"/>
      </top>
      <bottom style="thin">
        <color rgb="FF000000"/>
      </bottom>
    </border>
    <border>
      <right style="thin">
        <color theme="0"/>
      </right>
      <top style="thin">
        <color theme="0"/>
      </top>
    </border>
    <border>
      <right style="medium">
        <color rgb="FF000000"/>
      </right>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right style="medium">
        <color rgb="FF000000"/>
      </right>
      <top style="medium">
        <color rgb="FF000000"/>
      </top>
      <bottom style="thin">
        <color rgb="FF000000"/>
      </bottom>
    </border>
    <border>
      <left/>
      <right/>
      <top style="thin">
        <color rgb="FF000000"/>
      </top>
    </border>
    <border>
      <left style="medium">
        <color rgb="FF000000"/>
      </left>
      <bottom style="medium">
        <color rgb="FF000000"/>
      </bottom>
    </border>
    <border>
      <left style="medium">
        <color rgb="FF000000"/>
      </left>
      <right style="medium">
        <color rgb="FF000000"/>
      </right>
      <top style="thin">
        <color rgb="FF000000"/>
      </top>
      <bottom style="thin">
        <color rgb="FF000000"/>
      </bottom>
    </border>
    <border>
      <bottom style="medium">
        <color rgb="FF000000"/>
      </bottom>
    </border>
    <border>
      <left/>
      <right style="medium">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top style="medium">
        <color rgb="FF000000"/>
      </top>
    </border>
    <border>
      <right/>
    </border>
    <border>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left style="medium">
        <color rgb="FF000000"/>
      </left>
      <right style="medium">
        <color rgb="FF000000"/>
      </right>
      <top style="medium">
        <color rgb="FF000000"/>
      </top>
    </border>
    <border>
      <left style="medium">
        <color rgb="FF000000"/>
      </left>
      <bottom style="thin">
        <color rgb="FF000000"/>
      </bottom>
    </border>
    <border>
      <right style="thin">
        <color rgb="FF000000"/>
      </right>
      <bottom style="thin">
        <color rgb="FF000000"/>
      </bottom>
    </border>
    <border>
      <left style="medium">
        <color rgb="FF000000"/>
      </left>
      <right style="medium">
        <color rgb="FF000000"/>
      </right>
    </border>
    <border>
      <left style="medium">
        <color rgb="FF000000"/>
      </left>
      <right style="medium">
        <color rgb="FF000000"/>
      </right>
      <top style="thin">
        <color rgb="FF000000"/>
      </top>
    </border>
    <border>
      <left/>
      <right style="medium">
        <color rgb="FF000000"/>
      </right>
      <top style="thin">
        <color rgb="FF000000"/>
      </top>
    </border>
    <border>
      <right style="thin">
        <color rgb="FF000000"/>
      </right>
      <bottom style="medium">
        <color rgb="FF000000"/>
      </bottom>
    </border>
    <border>
      <left style="medium">
        <color rgb="FF000000"/>
      </left>
      <right style="medium">
        <color rgb="FF000000"/>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thin">
        <color rgb="FF000000"/>
      </bottom>
    </border>
    <border>
      <right style="medium">
        <color rgb="FF000000"/>
      </right>
      <top style="medium">
        <color rgb="FF000000"/>
      </top>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left style="medium">
        <color rgb="FF000000"/>
      </left>
      <right style="medium">
        <color rgb="FF000000"/>
      </right>
      <bottom style="thin">
        <color rgb="FF000000"/>
      </bottom>
    </border>
    <border>
      <left style="thin">
        <color rgb="FFFF9900"/>
      </left>
      <right style="thin">
        <color rgb="FFFF9900"/>
      </right>
      <top style="thin">
        <color rgb="FFFF9900"/>
      </top>
      <bottom style="thin">
        <color rgb="FFFF99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25">
    <xf borderId="0" fillId="0" fontId="0" numFmtId="0" xfId="0" applyAlignment="1" applyFont="1">
      <alignment readingOrder="0" shrinkToFit="0" vertical="bottom" wrapText="0"/>
    </xf>
    <xf borderId="0" fillId="0" fontId="1" numFmtId="164" xfId="0" applyAlignment="1" applyFont="1" applyNumberFormat="1">
      <alignment horizontal="center"/>
    </xf>
    <xf borderId="0" fillId="0" fontId="2" numFmtId="0" xfId="0" applyFont="1"/>
    <xf borderId="0" fillId="0" fontId="1" numFmtId="0" xfId="0" applyAlignment="1" applyFont="1">
      <alignment horizontal="center"/>
    </xf>
    <xf borderId="0" fillId="0" fontId="1" numFmtId="2" xfId="0" applyAlignment="1" applyFont="1" applyNumberFormat="1">
      <alignment horizontal="center"/>
    </xf>
    <xf borderId="0" fillId="0" fontId="3" numFmtId="0" xfId="0" applyFont="1"/>
    <xf borderId="0" fillId="0" fontId="4" numFmtId="0" xfId="0" applyFont="1"/>
    <xf borderId="1" fillId="0" fontId="3" numFmtId="0" xfId="0" applyAlignment="1" applyBorder="1" applyFont="1">
      <alignment horizontal="center"/>
    </xf>
    <xf borderId="2" fillId="2" fontId="5" numFmtId="0" xfId="0" applyAlignment="1" applyBorder="1" applyFill="1" applyFont="1">
      <alignment horizontal="center"/>
    </xf>
    <xf borderId="3" fillId="0" fontId="6" numFmtId="0" xfId="0" applyBorder="1" applyFont="1"/>
    <xf borderId="4" fillId="2" fontId="5" numFmtId="0" xfId="0" applyAlignment="1" applyBorder="1" applyFill="1" applyFont="1">
      <alignment horizontal="center"/>
    </xf>
    <xf borderId="5" fillId="0" fontId="6" numFmtId="0" xfId="0" applyBorder="1" applyFont="1"/>
    <xf borderId="0" fillId="0" fontId="7" numFmtId="0" xfId="0" applyFont="1"/>
    <xf borderId="6" fillId="2" fontId="5" numFmtId="0" xfId="0" applyAlignment="1" applyBorder="1" applyFill="1" applyFont="1">
      <alignment horizontal="center"/>
    </xf>
    <xf borderId="1" fillId="0" fontId="3" numFmtId="0" xfId="0" applyBorder="1" applyFont="1"/>
    <xf borderId="0" fillId="0" fontId="1" numFmtId="0" xfId="0" applyAlignment="1" applyFont="1">
      <alignment horizontal="center" readingOrder="0"/>
    </xf>
    <xf borderId="3" fillId="0" fontId="3" numFmtId="0" xfId="0" applyAlignment="1" applyBorder="1" applyFont="1">
      <alignment horizontal="center"/>
    </xf>
    <xf borderId="0" fillId="0" fontId="1" numFmtId="2" xfId="0" applyAlignment="1" applyFont="1" applyNumberFormat="1">
      <alignment horizontal="center" readingOrder="0"/>
    </xf>
    <xf borderId="3" fillId="0" fontId="3" numFmtId="0" xfId="0" applyAlignment="1" applyBorder="1" applyFont="1">
      <alignment horizontal="center" readingOrder="0" shrinkToFit="0" wrapText="1"/>
    </xf>
    <xf borderId="7" fillId="3" fontId="8" numFmtId="0" xfId="0" applyAlignment="1" applyBorder="1" applyFill="1" applyFont="1">
      <alignment horizontal="center" readingOrder="0" vertical="bottom"/>
    </xf>
    <xf borderId="8" fillId="0" fontId="3" numFmtId="0" xfId="0" applyBorder="1" applyFont="1"/>
    <xf borderId="0" fillId="0" fontId="3" numFmtId="0" xfId="0" applyAlignment="1" applyFont="1">
      <alignment horizontal="center"/>
    </xf>
    <xf borderId="0" fillId="0" fontId="3" numFmtId="0" xfId="0" applyAlignment="1" applyFont="1">
      <alignment horizontal="center" shrinkToFit="0" wrapText="1"/>
    </xf>
    <xf borderId="9" fillId="4" fontId="1" numFmtId="0" xfId="0" applyAlignment="1" applyBorder="1" applyFill="1" applyFont="1">
      <alignment horizontal="center"/>
    </xf>
    <xf borderId="10" fillId="0" fontId="6" numFmtId="0" xfId="0" applyBorder="1" applyFont="1"/>
    <xf borderId="11" fillId="0" fontId="6" numFmtId="0" xfId="0" applyBorder="1" applyFont="1"/>
    <xf borderId="7" fillId="3" fontId="8" numFmtId="0" xfId="0" applyAlignment="1" applyBorder="1" applyFill="1" applyFont="1">
      <alignment horizontal="center" vertical="bottom"/>
    </xf>
    <xf borderId="7" fillId="0" fontId="6" numFmtId="0" xfId="0" applyBorder="1" applyFont="1"/>
    <xf borderId="12" fillId="3" fontId="8" numFmtId="0" xfId="0" applyAlignment="1" applyBorder="1" applyFill="1" applyFont="1">
      <alignment horizontal="center" vertical="bottom"/>
    </xf>
    <xf borderId="0" fillId="3" fontId="9" numFmtId="0" xfId="0" applyAlignment="1" applyFill="1" applyFont="1">
      <alignment horizontal="center" readingOrder="0"/>
    </xf>
    <xf borderId="9" fillId="4" fontId="1" numFmtId="1" xfId="0" applyAlignment="1" applyBorder="1" applyFill="1" applyFont="1" applyNumberFormat="1">
      <alignment horizontal="center"/>
    </xf>
    <xf borderId="13" fillId="3" fontId="9" numFmtId="0" xfId="0" applyAlignment="1" applyBorder="1" applyFill="1" applyFont="1">
      <alignment horizontal="center" readingOrder="0"/>
    </xf>
    <xf borderId="14" fillId="0" fontId="6" numFmtId="0" xfId="0" applyBorder="1" applyFont="1"/>
    <xf borderId="9" fillId="3" fontId="9" numFmtId="0" xfId="0" applyAlignment="1" applyBorder="1" applyFill="1" applyFont="1">
      <alignment horizontal="center" readingOrder="0"/>
    </xf>
    <xf borderId="9" fillId="3" fontId="8" numFmtId="0" xfId="0" applyAlignment="1" applyBorder="1" applyFill="1" applyFont="1">
      <alignment horizontal="center" vertical="bottom"/>
    </xf>
    <xf borderId="9" fillId="3" fontId="8" numFmtId="0" xfId="0" applyAlignment="1" applyBorder="1" applyFill="1" applyFont="1">
      <alignment horizontal="left" shrinkToFit="0" vertical="bottom" wrapText="1"/>
    </xf>
    <xf borderId="9" fillId="0" fontId="10" numFmtId="0" xfId="0" applyAlignment="1" applyBorder="1" applyFont="1">
      <alignment horizontal="center" readingOrder="0" vertical="bottom"/>
    </xf>
    <xf borderId="9" fillId="0" fontId="1" numFmtId="0" xfId="0" applyAlignment="1" applyBorder="1" applyFont="1">
      <alignment horizontal="center" vertical="bottom"/>
    </xf>
    <xf borderId="9" fillId="0" fontId="2" numFmtId="0" xfId="0" applyAlignment="1" applyBorder="1" applyFont="1">
      <alignment horizontal="center"/>
    </xf>
    <xf borderId="9" fillId="0" fontId="2" numFmtId="0" xfId="0" applyBorder="1" applyFont="1"/>
    <xf borderId="9" fillId="0" fontId="2" numFmtId="0" xfId="0" applyAlignment="1" applyBorder="1" applyFont="1">
      <alignment horizontal="center" readingOrder="0"/>
    </xf>
    <xf borderId="9" fillId="0" fontId="2" numFmtId="165" xfId="0" applyAlignment="1" applyBorder="1" applyFont="1" applyNumberFormat="1">
      <alignment horizontal="center" readingOrder="0"/>
    </xf>
    <xf borderId="9" fillId="4" fontId="1" numFmtId="2" xfId="0" applyAlignment="1" applyBorder="1" applyFill="1" applyFont="1" applyNumberFormat="1">
      <alignment horizontal="center"/>
    </xf>
    <xf borderId="9" fillId="0" fontId="2" numFmtId="0" xfId="0" applyAlignment="1" applyBorder="1" applyFont="1">
      <alignment horizontal="left" readingOrder="0" shrinkToFit="0" wrapText="1"/>
    </xf>
    <xf borderId="0" fillId="0" fontId="11" numFmtId="0" xfId="0" applyAlignment="1" applyFont="1">
      <alignment horizontal="center" readingOrder="0" shrinkToFit="0" wrapText="1"/>
    </xf>
    <xf borderId="0" fillId="0" fontId="3" numFmtId="0" xfId="0" applyAlignment="1" applyFont="1">
      <alignment horizontal="center" readingOrder="0" shrinkToFit="0" wrapText="1"/>
    </xf>
    <xf borderId="0" fillId="0" fontId="12" numFmtId="0" xfId="0" applyAlignment="1" applyFont="1">
      <alignment horizontal="center" shrinkToFit="0" wrapText="1"/>
    </xf>
    <xf borderId="15" fillId="4" fontId="1" numFmtId="2" xfId="0" applyAlignment="1" applyBorder="1" applyFill="1" applyFont="1" applyNumberFormat="1">
      <alignment horizontal="center"/>
    </xf>
    <xf borderId="1" fillId="0" fontId="3" numFmtId="0" xfId="0" applyAlignment="1" applyBorder="1" applyFont="1">
      <alignment horizontal="center" readingOrder="0"/>
    </xf>
    <xf borderId="9" fillId="0" fontId="1" numFmtId="0" xfId="0" applyAlignment="1" applyBorder="1" applyFont="1">
      <alignment horizontal="center" vertical="bottom"/>
    </xf>
    <xf borderId="9" fillId="0" fontId="1" numFmtId="0" xfId="0" applyAlignment="1" applyBorder="1" applyFont="1">
      <alignment horizontal="left" shrinkToFit="0" vertical="bottom" wrapText="1"/>
    </xf>
    <xf borderId="16" fillId="0" fontId="3" numFmtId="0" xfId="0" applyAlignment="1" applyBorder="1" applyFont="1">
      <alignment horizontal="center"/>
    </xf>
    <xf borderId="9" fillId="0" fontId="1" numFmtId="0" xfId="0" applyAlignment="1" applyBorder="1" applyFont="1">
      <alignment horizontal="center" readingOrder="0" vertical="bottom"/>
    </xf>
    <xf borderId="17" fillId="0" fontId="6" numFmtId="0" xfId="0" applyBorder="1" applyFont="1"/>
    <xf borderId="18" fillId="0" fontId="6" numFmtId="0" xfId="0" applyBorder="1" applyFont="1"/>
    <xf borderId="19" fillId="4" fontId="1" numFmtId="1" xfId="0" applyAlignment="1" applyBorder="1" applyFill="1" applyFont="1" applyNumberFormat="1">
      <alignment horizontal="center"/>
    </xf>
    <xf borderId="16" fillId="0" fontId="3" numFmtId="0" xfId="0" applyAlignment="1" applyBorder="1" applyFont="1">
      <alignment readingOrder="0"/>
    </xf>
    <xf borderId="17" fillId="0" fontId="3" numFmtId="0" xfId="0" applyAlignment="1" applyBorder="1" applyFont="1">
      <alignment readingOrder="0"/>
    </xf>
    <xf borderId="18" fillId="0" fontId="3" numFmtId="0" xfId="0" applyAlignment="1" applyBorder="1" applyFont="1">
      <alignment readingOrder="0"/>
    </xf>
    <xf borderId="20" fillId="4" fontId="1" numFmtId="0" xfId="0" applyAlignment="1" applyBorder="1" applyFill="1" applyFont="1">
      <alignment horizontal="center"/>
    </xf>
    <xf borderId="3" fillId="0" fontId="3" numFmtId="0" xfId="0" applyAlignment="1" applyBorder="1" applyFont="1">
      <alignment horizontal="center" readingOrder="0"/>
    </xf>
    <xf borderId="8" fillId="0" fontId="3" numFmtId="0" xfId="0" applyAlignment="1" applyBorder="1" applyFont="1">
      <alignment readingOrder="0"/>
    </xf>
    <xf borderId="0" fillId="0" fontId="3" numFmtId="0" xfId="0" applyAlignment="1" applyFont="1">
      <alignment readingOrder="0"/>
    </xf>
    <xf borderId="0" fillId="5" fontId="3" numFmtId="0" xfId="0" applyFill="1" applyFont="1"/>
    <xf borderId="11" fillId="0" fontId="3" numFmtId="0" xfId="0" applyBorder="1" applyFont="1"/>
    <xf borderId="9" fillId="6" fontId="1" numFmtId="0" xfId="0" applyAlignment="1" applyBorder="1" applyFill="1" applyFont="1">
      <alignment horizontal="center"/>
    </xf>
    <xf borderId="0" fillId="0" fontId="3" numFmtId="0" xfId="0" applyAlignment="1" applyFont="1">
      <alignment horizontal="center" readingOrder="0" shrinkToFit="0" wrapText="1"/>
    </xf>
    <xf borderId="9" fillId="0" fontId="1" numFmtId="0" xfId="0" applyAlignment="1" applyBorder="1" applyFont="1">
      <alignment horizontal="left" shrinkToFit="0" vertical="bottom" wrapText="1"/>
    </xf>
    <xf borderId="0" fillId="0" fontId="3" numFmtId="0" xfId="0" applyAlignment="1" applyFont="1">
      <alignment readingOrder="0" shrinkToFit="0" vertical="top" wrapText="1"/>
    </xf>
    <xf borderId="9" fillId="0" fontId="1" numFmtId="0" xfId="0" applyAlignment="1" applyBorder="1" applyFont="1">
      <alignment horizontal="center" readingOrder="0" vertical="bottom"/>
    </xf>
    <xf borderId="0" fillId="7" fontId="3" numFmtId="0" xfId="0" applyFill="1" applyFont="1"/>
    <xf borderId="9" fillId="6" fontId="1" numFmtId="1" xfId="0" applyAlignment="1" applyBorder="1" applyFill="1" applyFont="1" applyNumberFormat="1">
      <alignment horizontal="center"/>
    </xf>
    <xf borderId="11" fillId="0" fontId="3" numFmtId="0" xfId="0" applyAlignment="1" applyBorder="1" applyFont="1">
      <alignment readingOrder="0"/>
    </xf>
    <xf borderId="0" fillId="5" fontId="3" numFmtId="0" xfId="0" applyAlignment="1" applyFill="1" applyFont="1">
      <alignment readingOrder="0"/>
    </xf>
    <xf borderId="9" fillId="6" fontId="1" numFmtId="2" xfId="0" applyAlignment="1" applyBorder="1" applyFill="1" applyFont="1" applyNumberFormat="1">
      <alignment horizontal="center"/>
    </xf>
    <xf borderId="4" fillId="3" fontId="8" numFmtId="0" xfId="0" applyAlignment="1" applyBorder="1" applyFill="1" applyFont="1">
      <alignment horizontal="center" readingOrder="0" vertical="center"/>
    </xf>
    <xf borderId="4" fillId="2" fontId="8" numFmtId="0" xfId="0" applyAlignment="1" applyBorder="1" applyFill="1" applyFont="1">
      <alignment horizontal="center" readingOrder="0" vertical="center"/>
    </xf>
    <xf borderId="4" fillId="2" fontId="5" numFmtId="164" xfId="0" applyAlignment="1" applyBorder="1" applyFill="1" applyFont="1" applyNumberFormat="1">
      <alignment horizontal="center" vertical="center"/>
    </xf>
    <xf borderId="15" fillId="6" fontId="1" numFmtId="2" xfId="0" applyAlignment="1" applyBorder="1" applyFill="1" applyFont="1" applyNumberFormat="1">
      <alignment horizontal="center"/>
    </xf>
    <xf borderId="21" fillId="2" fontId="5" numFmtId="164" xfId="0" applyAlignment="1" applyBorder="1" applyFill="1" applyFont="1" applyNumberFormat="1">
      <alignment horizontal="center" vertical="center"/>
    </xf>
    <xf borderId="22" fillId="0" fontId="3" numFmtId="0" xfId="0" applyBorder="1" applyFont="1"/>
    <xf borderId="23" fillId="6" fontId="1" numFmtId="1" xfId="0" applyAlignment="1" applyBorder="1" applyFill="1" applyFont="1" applyNumberFormat="1">
      <alignment horizontal="center"/>
    </xf>
    <xf borderId="12" fillId="2" fontId="5" numFmtId="164" xfId="0" applyAlignment="1" applyBorder="1" applyFill="1" applyFont="1" applyNumberFormat="1">
      <alignment horizontal="center" vertical="center"/>
    </xf>
    <xf borderId="24" fillId="0" fontId="3" numFmtId="0" xfId="0" applyAlignment="1" applyBorder="1" applyFont="1">
      <alignment horizontal="center"/>
    </xf>
    <xf borderId="24" fillId="0" fontId="6" numFmtId="0" xfId="0" applyBorder="1" applyFont="1"/>
    <xf borderId="12" fillId="2" fontId="5" numFmtId="166" xfId="0" applyAlignment="1" applyBorder="1" applyFill="1" applyFont="1" applyNumberFormat="1">
      <alignment horizontal="center"/>
    </xf>
    <xf borderId="25" fillId="6" fontId="1" numFmtId="0" xfId="0" applyAlignment="1" applyBorder="1" applyFill="1" applyFont="1">
      <alignment horizontal="center"/>
    </xf>
    <xf borderId="12" fillId="2" fontId="8" numFmtId="166" xfId="0" applyAlignment="1" applyBorder="1" applyFill="1" applyFont="1" applyNumberFormat="1">
      <alignment readingOrder="0"/>
    </xf>
    <xf borderId="12" fillId="2" fontId="5" numFmtId="0" xfId="0" applyAlignment="1" applyBorder="1" applyFill="1" applyFont="1">
      <alignment horizontal="left"/>
    </xf>
    <xf borderId="16" fillId="0" fontId="3" numFmtId="0" xfId="0" applyAlignment="1" applyBorder="1" applyFont="1">
      <alignment horizontal="center" shrinkToFit="0" wrapText="1"/>
    </xf>
    <xf borderId="26" fillId="2" fontId="8" numFmtId="0" xfId="0" applyAlignment="1" applyBorder="1" applyFill="1" applyFont="1">
      <alignment horizontal="center" readingOrder="0"/>
    </xf>
    <xf borderId="27" fillId="2" fontId="8" numFmtId="0" xfId="0" applyAlignment="1" applyBorder="1" applyFill="1" applyFont="1">
      <alignment horizontal="center" readingOrder="0"/>
    </xf>
    <xf borderId="9" fillId="8" fontId="1" numFmtId="0" xfId="0" applyAlignment="1" applyBorder="1" applyFill="1" applyFont="1">
      <alignment horizontal="center"/>
    </xf>
    <xf borderId="0" fillId="0" fontId="4" numFmtId="0" xfId="0" applyAlignment="1" applyFont="1">
      <alignment shrinkToFit="0" wrapText="1"/>
    </xf>
    <xf borderId="0" fillId="0" fontId="4" numFmtId="0" xfId="0" applyAlignment="1" applyFont="1">
      <alignment readingOrder="0"/>
    </xf>
    <xf borderId="28" fillId="2" fontId="8" numFmtId="0" xfId="0" applyAlignment="1" applyBorder="1" applyFill="1" applyFont="1">
      <alignment horizontal="center" readingOrder="0"/>
    </xf>
    <xf borderId="9" fillId="0" fontId="1" numFmtId="0" xfId="0" applyAlignment="1" applyBorder="1" applyFont="1">
      <alignment horizontal="left" readingOrder="0" shrinkToFit="0" vertical="bottom" wrapText="1"/>
    </xf>
    <xf borderId="29" fillId="2" fontId="8" numFmtId="0" xfId="0" applyAlignment="1" applyBorder="1" applyFill="1" applyFont="1">
      <alignment horizontal="center" readingOrder="0"/>
    </xf>
    <xf borderId="30" fillId="3" fontId="8" numFmtId="0" xfId="0" applyAlignment="1" applyBorder="1" applyFill="1" applyFont="1">
      <alignment horizontal="center" readingOrder="0" vertical="bottom"/>
    </xf>
    <xf borderId="12" fillId="2" fontId="8" numFmtId="0" xfId="0" applyAlignment="1" applyBorder="1" applyFill="1" applyFont="1">
      <alignment horizontal="center"/>
    </xf>
    <xf borderId="9" fillId="8" fontId="1" numFmtId="1" xfId="0" applyAlignment="1" applyBorder="1" applyFill="1" applyFont="1" applyNumberFormat="1">
      <alignment horizontal="center"/>
    </xf>
    <xf borderId="12" fillId="2" fontId="8" numFmtId="166" xfId="0" applyAlignment="1" applyBorder="1" applyFill="1" applyFont="1" applyNumberFormat="1">
      <alignment horizontal="center" readingOrder="0"/>
    </xf>
    <xf borderId="4" fillId="9" fontId="5" numFmtId="166" xfId="0" applyAlignment="1" applyBorder="1" applyFill="1" applyFont="1" applyNumberFormat="1">
      <alignment horizontal="center"/>
    </xf>
    <xf borderId="1" fillId="0" fontId="1" numFmtId="164" xfId="0" applyAlignment="1" applyBorder="1" applyFont="1" applyNumberFormat="1">
      <alignment horizontal="center" readingOrder="0" vertical="center"/>
    </xf>
    <xf borderId="1" fillId="0" fontId="1" numFmtId="0" xfId="0" applyAlignment="1" applyBorder="1" applyFont="1">
      <alignment horizontal="center" vertical="center"/>
    </xf>
    <xf borderId="9" fillId="0" fontId="2" numFmtId="167" xfId="0" applyAlignment="1" applyBorder="1" applyFont="1" applyNumberFormat="1">
      <alignment horizontal="center" readingOrder="0"/>
    </xf>
    <xf borderId="9" fillId="10" fontId="1" numFmtId="0" xfId="0" applyAlignment="1" applyBorder="1" applyFill="1" applyFont="1">
      <alignment horizontal="center" readingOrder="0" vertical="bottom"/>
    </xf>
    <xf borderId="9" fillId="8" fontId="1" numFmtId="2" xfId="0" applyAlignment="1" applyBorder="1" applyFill="1" applyFont="1" applyNumberFormat="1">
      <alignment horizontal="center"/>
    </xf>
    <xf borderId="9" fillId="0" fontId="2" numFmtId="168" xfId="0" applyAlignment="1" applyBorder="1" applyFont="1" applyNumberFormat="1">
      <alignment horizontal="center" readingOrder="0"/>
    </xf>
    <xf borderId="15" fillId="8" fontId="1" numFmtId="2" xfId="0" applyAlignment="1" applyBorder="1" applyFill="1" applyFont="1" applyNumberFormat="1">
      <alignment horizontal="center"/>
    </xf>
    <xf borderId="23" fillId="8" fontId="1" numFmtId="1" xfId="0" applyAlignment="1" applyBorder="1" applyFill="1" applyFont="1" applyNumberFormat="1">
      <alignment horizontal="center"/>
    </xf>
    <xf borderId="31" fillId="11" fontId="1" numFmtId="164" xfId="0" applyAlignment="1" applyBorder="1" applyFill="1" applyFont="1" applyNumberFormat="1">
      <alignment horizontal="center" vertical="center"/>
    </xf>
    <xf borderId="25" fillId="8" fontId="1" numFmtId="0" xfId="0" applyAlignment="1" applyBorder="1" applyFill="1" applyFont="1">
      <alignment horizontal="center"/>
    </xf>
    <xf borderId="32" fillId="11" fontId="1" numFmtId="0" xfId="0" applyAlignment="1" applyBorder="1" applyFill="1" applyFont="1">
      <alignment horizontal="center"/>
    </xf>
    <xf borderId="9" fillId="0" fontId="2" numFmtId="0" xfId="0" applyAlignment="1" applyBorder="1" applyFont="1">
      <alignment horizontal="left" shrinkToFit="0" wrapText="1"/>
    </xf>
    <xf borderId="33" fillId="11" fontId="1" numFmtId="166" xfId="0" applyAlignment="1" applyBorder="1" applyFill="1" applyFont="1" applyNumberFormat="1">
      <alignment horizontal="center"/>
    </xf>
    <xf borderId="9" fillId="12" fontId="1" numFmtId="0" xfId="0" applyAlignment="1" applyBorder="1" applyFill="1" applyFont="1">
      <alignment horizontal="center"/>
    </xf>
    <xf borderId="33" fillId="11" fontId="1" numFmtId="166" xfId="0" applyAlignment="1" applyBorder="1" applyFill="1" applyFont="1" applyNumberFormat="1">
      <alignment horizontal="center" readingOrder="0"/>
    </xf>
    <xf borderId="9" fillId="12" fontId="1" numFmtId="1" xfId="0" applyAlignment="1" applyBorder="1" applyFill="1" applyFont="1" applyNumberFormat="1">
      <alignment horizontal="center"/>
    </xf>
    <xf borderId="33" fillId="11" fontId="1" numFmtId="0" xfId="0" applyAlignment="1" applyBorder="1" applyFill="1" applyFont="1">
      <alignment horizontal="left" readingOrder="0"/>
    </xf>
    <xf borderId="31" fillId="13" fontId="1" numFmtId="0" xfId="0" applyAlignment="1" applyBorder="1" applyFill="1" applyFont="1">
      <alignment horizontal="center" readingOrder="0"/>
    </xf>
    <xf borderId="33" fillId="13" fontId="1" numFmtId="0" xfId="0" applyAlignment="1" applyBorder="1" applyFill="1" applyFont="1">
      <alignment horizontal="center" readingOrder="0"/>
    </xf>
    <xf borderId="33" fillId="3" fontId="1" numFmtId="0" xfId="0" applyAlignment="1" applyBorder="1" applyFill="1" applyFont="1">
      <alignment horizontal="center" readingOrder="0"/>
    </xf>
    <xf borderId="9" fillId="0" fontId="13" numFmtId="0" xfId="0" applyAlignment="1" applyBorder="1" applyFont="1">
      <alignment horizontal="left" readingOrder="0" shrinkToFit="0" wrapText="1"/>
    </xf>
    <xf borderId="9" fillId="12" fontId="1" numFmtId="2" xfId="0" applyAlignment="1" applyBorder="1" applyFill="1" applyFont="1" applyNumberFormat="1">
      <alignment horizontal="center"/>
    </xf>
    <xf borderId="9" fillId="0" fontId="2" numFmtId="169" xfId="0" applyAlignment="1" applyBorder="1" applyFont="1" applyNumberFormat="1">
      <alignment horizontal="center" readingOrder="0"/>
    </xf>
    <xf borderId="19" fillId="13" fontId="1" numFmtId="0" xfId="0" applyAlignment="1" applyBorder="1" applyFill="1" applyFont="1">
      <alignment horizontal="center"/>
    </xf>
    <xf borderId="5" fillId="14" fontId="1" numFmtId="0" xfId="0" applyAlignment="1" applyBorder="1" applyFill="1" applyFont="1">
      <alignment horizontal="center"/>
    </xf>
    <xf borderId="34" fillId="14" fontId="1" numFmtId="0" xfId="0" applyAlignment="1" applyBorder="1" applyFill="1" applyFont="1">
      <alignment horizontal="center"/>
    </xf>
    <xf borderId="15" fillId="12" fontId="1" numFmtId="2" xfId="0" applyAlignment="1" applyBorder="1" applyFill="1" applyFont="1" applyNumberFormat="1">
      <alignment horizontal="center"/>
    </xf>
    <xf borderId="34" fillId="14" fontId="1" numFmtId="0" xfId="0" applyAlignment="1" applyBorder="1" applyFill="1" applyFont="1">
      <alignment horizontal="center" shrinkToFit="0" vertical="center" wrapText="1"/>
    </xf>
    <xf borderId="0" fillId="0" fontId="2" numFmtId="0" xfId="0" applyAlignment="1" applyFont="1">
      <alignment horizontal="center" readingOrder="0"/>
    </xf>
    <xf borderId="23" fillId="12" fontId="1" numFmtId="0" xfId="0" applyAlignment="1" applyBorder="1" applyFill="1" applyFont="1">
      <alignment horizontal="center"/>
    </xf>
    <xf borderId="34" fillId="0" fontId="1" numFmtId="0" xfId="0" applyAlignment="1" applyBorder="1" applyFont="1">
      <alignment horizontal="center" shrinkToFit="0" vertical="center" wrapText="1"/>
    </xf>
    <xf borderId="8" fillId="0" fontId="6" numFmtId="0" xfId="0" applyBorder="1" applyFont="1"/>
    <xf borderId="25" fillId="12" fontId="1" numFmtId="0" xfId="0" applyAlignment="1" applyBorder="1" applyFill="1" applyFont="1">
      <alignment horizontal="center"/>
    </xf>
    <xf borderId="35" fillId="15" fontId="1" numFmtId="164" xfId="0" applyAlignment="1" applyBorder="1" applyFill="1" applyFont="1" applyNumberFormat="1">
      <alignment horizontal="center" vertical="center"/>
    </xf>
    <xf borderId="9" fillId="16" fontId="1" numFmtId="0" xfId="0" applyAlignment="1" applyBorder="1" applyFill="1" applyFont="1">
      <alignment horizontal="center"/>
    </xf>
    <xf borderId="36" fillId="11" fontId="1" numFmtId="0" xfId="0" applyAlignment="1" applyBorder="1" applyFill="1" applyFont="1">
      <alignment horizontal="center"/>
    </xf>
    <xf borderId="9" fillId="16" fontId="1" numFmtId="1" xfId="0" applyAlignment="1" applyBorder="1" applyFill="1" applyFont="1" applyNumberFormat="1">
      <alignment horizontal="center"/>
    </xf>
    <xf borderId="30" fillId="15" fontId="1" numFmtId="166" xfId="0" applyAlignment="1" applyBorder="1" applyFill="1" applyFont="1" applyNumberFormat="1">
      <alignment horizontal="center"/>
    </xf>
    <xf borderId="30" fillId="15" fontId="1" numFmtId="166" xfId="0" applyAlignment="1" applyBorder="1" applyFill="1" applyFont="1" applyNumberFormat="1">
      <alignment horizontal="center" readingOrder="0"/>
    </xf>
    <xf borderId="30" fillId="15" fontId="1" numFmtId="0" xfId="0" applyAlignment="1" applyBorder="1" applyFill="1" applyFont="1">
      <alignment horizontal="left" readingOrder="0"/>
    </xf>
    <xf borderId="35" fillId="13" fontId="1" numFmtId="0" xfId="0" applyAlignment="1" applyBorder="1" applyFill="1" applyFont="1">
      <alignment horizontal="center" readingOrder="0"/>
    </xf>
    <xf borderId="30" fillId="13" fontId="1" numFmtId="0" xfId="0" applyAlignment="1" applyBorder="1" applyFill="1" applyFont="1">
      <alignment horizontal="center" readingOrder="0"/>
    </xf>
    <xf borderId="9" fillId="16" fontId="1" numFmtId="2" xfId="0" applyAlignment="1" applyBorder="1" applyFill="1" applyFont="1" applyNumberFormat="1">
      <alignment horizontal="center"/>
    </xf>
    <xf borderId="15" fillId="16" fontId="1" numFmtId="2" xfId="0" applyAlignment="1" applyBorder="1" applyFill="1" applyFont="1" applyNumberFormat="1">
      <alignment horizontal="center"/>
    </xf>
    <xf borderId="23" fillId="13" fontId="1" numFmtId="0" xfId="0" applyAlignment="1" applyBorder="1" applyFill="1" applyFont="1">
      <alignment horizontal="center"/>
    </xf>
    <xf borderId="23" fillId="16" fontId="1" numFmtId="0" xfId="0" applyAlignment="1" applyBorder="1" applyFill="1" applyFont="1">
      <alignment horizontal="center"/>
    </xf>
    <xf borderId="11" fillId="15" fontId="1" numFmtId="0" xfId="0" applyAlignment="1" applyBorder="1" applyFill="1" applyFont="1">
      <alignment horizontal="center"/>
    </xf>
    <xf borderId="25" fillId="16" fontId="1" numFmtId="0" xfId="0" applyAlignment="1" applyBorder="1" applyFill="1" applyFont="1">
      <alignment horizontal="center"/>
    </xf>
    <xf borderId="37" fillId="15" fontId="1" numFmtId="0" xfId="0" applyAlignment="1" applyBorder="1" applyFill="1" applyFont="1">
      <alignment horizontal="center"/>
    </xf>
    <xf borderId="37" fillId="15" fontId="1" numFmtId="0" xfId="0" applyAlignment="1" applyBorder="1" applyFill="1" applyFont="1">
      <alignment horizontal="center" shrinkToFit="0" vertical="center" wrapText="1"/>
    </xf>
    <xf borderId="37" fillId="0" fontId="6" numFmtId="0" xfId="0" applyBorder="1" applyFont="1"/>
    <xf borderId="9" fillId="10" fontId="1" numFmtId="0" xfId="0" applyAlignment="1" applyBorder="1" applyFill="1" applyFont="1">
      <alignment shrinkToFit="0" wrapText="1"/>
    </xf>
    <xf borderId="35" fillId="14" fontId="1" numFmtId="164" xfId="0" applyAlignment="1" applyBorder="1" applyFill="1" applyFont="1" applyNumberFormat="1">
      <alignment horizontal="center" vertical="center"/>
    </xf>
    <xf borderId="36" fillId="14" fontId="1" numFmtId="0" xfId="0" applyAlignment="1" applyBorder="1" applyFill="1" applyFont="1">
      <alignment horizontal="center"/>
    </xf>
    <xf borderId="9" fillId="17" fontId="1" numFmtId="0" xfId="0" applyAlignment="1" applyBorder="1" applyFill="1" applyFont="1">
      <alignment horizontal="center"/>
    </xf>
    <xf borderId="9" fillId="0" fontId="0" numFmtId="0" xfId="0" applyAlignment="1" applyBorder="1" applyFont="1">
      <alignment horizontal="left" readingOrder="0" shrinkToFit="0" wrapText="1"/>
    </xf>
    <xf borderId="30" fillId="14" fontId="1" numFmtId="166" xfId="0" applyAlignment="1" applyBorder="1" applyFill="1" applyFont="1" applyNumberFormat="1">
      <alignment horizontal="center"/>
    </xf>
    <xf borderId="9" fillId="17" fontId="1" numFmtId="1" xfId="0" applyAlignment="1" applyBorder="1" applyFill="1" applyFont="1" applyNumberFormat="1">
      <alignment horizontal="center"/>
    </xf>
    <xf borderId="30" fillId="14" fontId="1" numFmtId="166" xfId="0" applyAlignment="1" applyBorder="1" applyFill="1" applyFont="1" applyNumberFormat="1">
      <alignment horizontal="center" readingOrder="0"/>
    </xf>
    <xf borderId="30" fillId="14" fontId="1" numFmtId="0" xfId="0" applyAlignment="1" applyBorder="1" applyFill="1" applyFont="1">
      <alignment horizontal="left" readingOrder="0"/>
    </xf>
    <xf borderId="9" fillId="17" fontId="1" numFmtId="2" xfId="0" applyAlignment="1" applyBorder="1" applyFill="1" applyFont="1" applyNumberFormat="1">
      <alignment horizontal="center"/>
    </xf>
    <xf borderId="9" fillId="0" fontId="2" numFmtId="0" xfId="0" applyAlignment="1" applyBorder="1" applyFont="1">
      <alignment horizontal="left"/>
    </xf>
    <xf borderId="9" fillId="0" fontId="2" numFmtId="170" xfId="0" applyAlignment="1" applyBorder="1" applyFont="1" applyNumberFormat="1">
      <alignment horizontal="center" readingOrder="0"/>
    </xf>
    <xf borderId="9" fillId="10" fontId="1" numFmtId="0" xfId="0" applyAlignment="1" applyBorder="1" applyFill="1" applyFont="1">
      <alignment readingOrder="0" shrinkToFit="0" wrapText="1"/>
    </xf>
    <xf borderId="11" fillId="14" fontId="1" numFmtId="0" xfId="0" applyAlignment="1" applyBorder="1" applyFill="1" applyFont="1">
      <alignment horizontal="center"/>
    </xf>
    <xf borderId="15" fillId="17" fontId="1" numFmtId="2" xfId="0" applyAlignment="1" applyBorder="1" applyFill="1" applyFont="1" applyNumberFormat="1">
      <alignment horizontal="center"/>
    </xf>
    <xf borderId="37" fillId="14" fontId="1" numFmtId="0" xfId="0" applyAlignment="1" applyBorder="1" applyFill="1" applyFont="1">
      <alignment horizontal="center"/>
    </xf>
    <xf borderId="37" fillId="14" fontId="1" numFmtId="0" xfId="0" applyAlignment="1" applyBorder="1" applyFill="1" applyFont="1">
      <alignment horizontal="center" shrinkToFit="0" vertical="center" wrapText="1"/>
    </xf>
    <xf borderId="23" fillId="17" fontId="1" numFmtId="0" xfId="0" applyAlignment="1" applyBorder="1" applyFill="1" applyFont="1">
      <alignment horizontal="center"/>
    </xf>
    <xf borderId="25" fillId="17" fontId="1" numFmtId="0" xfId="0" applyAlignment="1" applyBorder="1" applyFill="1" applyFont="1">
      <alignment horizontal="center"/>
    </xf>
    <xf borderId="0" fillId="0" fontId="1" numFmtId="0" xfId="0" applyFont="1"/>
    <xf borderId="0" fillId="0" fontId="1" numFmtId="164" xfId="0" applyFont="1" applyNumberFormat="1"/>
    <xf borderId="36" fillId="15" fontId="1" numFmtId="0" xfId="0" applyAlignment="1" applyBorder="1" applyFill="1" applyFont="1">
      <alignment horizontal="center"/>
    </xf>
    <xf borderId="9" fillId="0" fontId="2" numFmtId="171" xfId="0" applyAlignment="1" applyBorder="1" applyFont="1" applyNumberFormat="1">
      <alignment horizontal="center" readingOrder="0"/>
    </xf>
    <xf borderId="0" fillId="0" fontId="2" numFmtId="0" xfId="0" applyAlignment="1" applyFont="1">
      <alignment readingOrder="0"/>
    </xf>
    <xf borderId="9" fillId="18" fontId="1" numFmtId="0" xfId="0" applyAlignment="1" applyBorder="1" applyFill="1" applyFont="1">
      <alignment horizontal="center"/>
    </xf>
    <xf borderId="9" fillId="18" fontId="1" numFmtId="1" xfId="0" applyAlignment="1" applyBorder="1" applyFill="1" applyFont="1" applyNumberFormat="1">
      <alignment horizontal="center"/>
    </xf>
    <xf borderId="9" fillId="10" fontId="2" numFmtId="0" xfId="0" applyAlignment="1" applyBorder="1" applyFill="1" applyFont="1">
      <alignment horizontal="center"/>
    </xf>
    <xf borderId="9" fillId="18" fontId="1" numFmtId="2" xfId="0" applyAlignment="1" applyBorder="1" applyFill="1" applyFont="1" applyNumberFormat="1">
      <alignment horizontal="center"/>
    </xf>
    <xf borderId="9" fillId="0" fontId="2" numFmtId="0" xfId="0" applyAlignment="1" applyBorder="1" applyFont="1">
      <alignment horizontal="center" shrinkToFit="0" wrapText="0"/>
    </xf>
    <xf borderId="15" fillId="18" fontId="1" numFmtId="2" xfId="0" applyAlignment="1" applyBorder="1" applyFill="1" applyFont="1" applyNumberFormat="1">
      <alignment horizontal="center"/>
    </xf>
    <xf borderId="38" fillId="18" fontId="1" numFmtId="0" xfId="0" applyAlignment="1" applyBorder="1" applyFill="1" applyFont="1">
      <alignment horizontal="center"/>
    </xf>
    <xf borderId="39" fillId="18" fontId="1" numFmtId="0" xfId="0" applyAlignment="1" applyBorder="1" applyFill="1" applyFont="1">
      <alignment horizontal="center"/>
    </xf>
    <xf borderId="9" fillId="19" fontId="1" numFmtId="0" xfId="0" applyAlignment="1" applyBorder="1" applyFill="1" applyFont="1">
      <alignment horizontal="center"/>
    </xf>
    <xf borderId="9" fillId="19" fontId="1" numFmtId="1" xfId="0" applyAlignment="1" applyBorder="1" applyFill="1" applyFont="1" applyNumberFormat="1">
      <alignment horizontal="center"/>
    </xf>
    <xf borderId="9" fillId="19" fontId="1" numFmtId="2" xfId="0" applyAlignment="1" applyBorder="1" applyFill="1" applyFont="1" applyNumberFormat="1">
      <alignment horizontal="center"/>
    </xf>
    <xf borderId="22" fillId="0" fontId="6" numFmtId="0" xfId="0" applyBorder="1" applyFont="1"/>
    <xf borderId="22" fillId="14" fontId="1" numFmtId="164" xfId="0" applyAlignment="1" applyBorder="1" applyFill="1" applyFont="1" applyNumberFormat="1">
      <alignment horizontal="center" vertical="center"/>
    </xf>
    <xf borderId="40" fillId="14" fontId="1" numFmtId="0" xfId="0" applyAlignment="1" applyBorder="1" applyFill="1" applyFont="1">
      <alignment horizontal="center"/>
    </xf>
    <xf borderId="15" fillId="19" fontId="1" numFmtId="2" xfId="0" applyAlignment="1" applyBorder="1" applyFill="1" applyFont="1" applyNumberFormat="1">
      <alignment horizontal="center"/>
    </xf>
    <xf borderId="24" fillId="14" fontId="1" numFmtId="166" xfId="0" applyAlignment="1" applyBorder="1" applyFill="1" applyFont="1" applyNumberFormat="1">
      <alignment horizontal="center"/>
    </xf>
    <xf borderId="41" fillId="19" fontId="1" numFmtId="0" xfId="0" applyAlignment="1" applyBorder="1" applyFill="1" applyFont="1">
      <alignment horizontal="center"/>
    </xf>
    <xf borderId="42" fillId="19" fontId="1" numFmtId="0" xfId="0" applyAlignment="1" applyBorder="1" applyFill="1" applyFont="1">
      <alignment horizontal="center"/>
    </xf>
    <xf borderId="24" fillId="14" fontId="1" numFmtId="166" xfId="0" applyAlignment="1" applyBorder="1" applyFill="1" applyFont="1" applyNumberFormat="1">
      <alignment horizontal="center" readingOrder="0"/>
    </xf>
    <xf borderId="24" fillId="14" fontId="1" numFmtId="0" xfId="0" applyAlignment="1" applyBorder="1" applyFill="1" applyFont="1">
      <alignment horizontal="left" readingOrder="0"/>
    </xf>
    <xf borderId="0" fillId="0" fontId="1" numFmtId="0" xfId="0" applyAlignment="1" applyFont="1">
      <alignment shrinkToFit="0" wrapText="1"/>
    </xf>
    <xf borderId="22" fillId="13" fontId="1" numFmtId="0" xfId="0" applyAlignment="1" applyBorder="1" applyFill="1" applyFont="1">
      <alignment horizontal="center" readingOrder="0"/>
    </xf>
    <xf borderId="1" fillId="3" fontId="9" numFmtId="0" xfId="0" applyAlignment="1" applyBorder="1" applyFill="1" applyFont="1">
      <alignment horizontal="center" readingOrder="0"/>
    </xf>
    <xf borderId="24" fillId="13" fontId="1" numFmtId="0" xfId="0" applyAlignment="1" applyBorder="1" applyFill="1" applyFont="1">
      <alignment horizontal="center" readingOrder="0"/>
    </xf>
    <xf borderId="8" fillId="3" fontId="8" numFmtId="0" xfId="0" applyAlignment="1" applyBorder="1" applyFill="1" applyFont="1">
      <alignment horizontal="center" readingOrder="0"/>
    </xf>
    <xf borderId="41" fillId="13" fontId="1" numFmtId="0" xfId="0" applyAlignment="1" applyBorder="1" applyFill="1" applyFont="1">
      <alignment horizontal="center"/>
    </xf>
    <xf borderId="43" fillId="19" fontId="1" numFmtId="0" xfId="0" applyAlignment="1" applyBorder="1" applyFill="1" applyFont="1">
      <alignment horizontal="center"/>
    </xf>
    <xf borderId="44" fillId="14" fontId="1" numFmtId="0" xfId="0" applyAlignment="1" applyBorder="1" applyFill="1" applyFont="1">
      <alignment horizontal="center"/>
    </xf>
    <xf borderId="45" fillId="14" fontId="1" numFmtId="0" xfId="0" applyAlignment="1" applyBorder="1" applyFill="1" applyFont="1">
      <alignment horizontal="center"/>
    </xf>
    <xf borderId="45" fillId="14" fontId="1" numFmtId="0" xfId="0" applyAlignment="1" applyBorder="1" applyFill="1" applyFont="1">
      <alignment horizontal="center" shrinkToFit="0" vertical="center" wrapText="1"/>
    </xf>
    <xf borderId="45" fillId="0" fontId="6" numFmtId="0" xfId="0" applyBorder="1" applyFont="1"/>
    <xf borderId="46" fillId="4" fontId="1" numFmtId="0" xfId="0" applyAlignment="1" applyBorder="1" applyFill="1" applyFont="1">
      <alignment horizontal="center"/>
    </xf>
    <xf borderId="9" fillId="20" fontId="2" numFmtId="0" xfId="0" applyAlignment="1" applyBorder="1" applyFill="1" applyFont="1">
      <alignment horizontal="center"/>
    </xf>
    <xf borderId="9" fillId="20" fontId="2" numFmtId="0" xfId="0" applyAlignment="1" applyBorder="1" applyFill="1" applyFont="1">
      <alignment horizontal="left"/>
    </xf>
    <xf borderId="9" fillId="20" fontId="2" numFmtId="0" xfId="0" applyAlignment="1" applyBorder="1" applyFill="1" applyFont="1">
      <alignment horizontal="center" readingOrder="0"/>
    </xf>
    <xf borderId="9" fillId="20" fontId="2" numFmtId="165" xfId="0" applyAlignment="1" applyBorder="1" applyFill="1" applyFont="1" applyNumberFormat="1">
      <alignment horizontal="center" readingOrder="0"/>
    </xf>
    <xf borderId="11" fillId="0" fontId="1" numFmtId="2" xfId="0" applyAlignment="1" applyBorder="1" applyFont="1" applyNumberFormat="1">
      <alignment horizontal="center"/>
    </xf>
    <xf borderId="46" fillId="6" fontId="1" numFmtId="0" xfId="0" applyAlignment="1" applyBorder="1" applyFill="1" applyFont="1">
      <alignment horizontal="center"/>
    </xf>
    <xf borderId="47" fillId="13" fontId="1" numFmtId="0" xfId="0" applyAlignment="1" applyBorder="1" applyFill="1" applyFont="1">
      <alignment horizontal="center" readingOrder="0"/>
    </xf>
    <xf borderId="34" fillId="0" fontId="1" numFmtId="0" xfId="0" applyAlignment="1" applyBorder="1" applyFont="1">
      <alignment horizontal="center"/>
    </xf>
    <xf borderId="46" fillId="8" fontId="1" numFmtId="0" xfId="0" applyAlignment="1" applyBorder="1" applyFill="1" applyFont="1">
      <alignment horizontal="center"/>
    </xf>
    <xf borderId="35" fillId="0" fontId="1" numFmtId="164" xfId="0" applyAlignment="1" applyBorder="1" applyFont="1" applyNumberFormat="1">
      <alignment horizontal="center" vertical="center"/>
    </xf>
    <xf borderId="30" fillId="0" fontId="1" numFmtId="166" xfId="0" applyAlignment="1" applyBorder="1" applyFont="1" applyNumberFormat="1">
      <alignment horizontal="center"/>
    </xf>
    <xf borderId="30" fillId="0" fontId="1" numFmtId="166" xfId="0" applyAlignment="1" applyBorder="1" applyFont="1" applyNumberFormat="1">
      <alignment horizontal="center" readingOrder="0"/>
    </xf>
    <xf borderId="30" fillId="0" fontId="1" numFmtId="0" xfId="0" applyAlignment="1" applyBorder="1" applyFont="1">
      <alignment horizontal="left" readingOrder="0"/>
    </xf>
    <xf borderId="48" fillId="13" fontId="1" numFmtId="0" xfId="0" applyAlignment="1" applyBorder="1" applyFill="1" applyFont="1">
      <alignment horizontal="center" readingOrder="0"/>
    </xf>
    <xf borderId="46" fillId="12" fontId="1" numFmtId="0" xfId="0" applyAlignment="1" applyBorder="1" applyFill="1" applyFont="1">
      <alignment horizontal="center"/>
    </xf>
    <xf borderId="37" fillId="0" fontId="1" numFmtId="0" xfId="0" applyAlignment="1" applyBorder="1" applyFont="1">
      <alignment horizontal="center"/>
    </xf>
    <xf borderId="37" fillId="0" fontId="1" numFmtId="0" xfId="0" applyAlignment="1" applyBorder="1" applyFont="1">
      <alignment horizontal="center" shrinkToFit="0" vertical="center" wrapText="1"/>
    </xf>
    <xf borderId="36" fillId="0" fontId="1" numFmtId="0" xfId="0" applyAlignment="1" applyBorder="1" applyFont="1">
      <alignment horizontal="center"/>
    </xf>
    <xf borderId="46" fillId="16" fontId="1" numFmtId="0" xfId="0" applyAlignment="1" applyBorder="1" applyFill="1" applyFont="1">
      <alignment horizontal="center"/>
    </xf>
    <xf borderId="49" fillId="17" fontId="1" numFmtId="0" xfId="0" applyAlignment="1" applyBorder="1" applyFill="1" applyFont="1">
      <alignment horizontal="center"/>
    </xf>
    <xf borderId="30" fillId="0" fontId="2" numFmtId="0" xfId="0" applyAlignment="1" applyBorder="1" applyFont="1">
      <alignment horizontal="center" readingOrder="0"/>
    </xf>
    <xf borderId="50" fillId="0" fontId="2" numFmtId="0" xfId="0" applyAlignment="1" applyBorder="1" applyFont="1">
      <alignment horizontal="center" readingOrder="0"/>
    </xf>
    <xf borderId="46" fillId="18" fontId="1" numFmtId="0" xfId="0" applyAlignment="1" applyBorder="1" applyFill="1" applyFont="1">
      <alignment horizontal="center"/>
    </xf>
    <xf borderId="11" fillId="21" fontId="1" numFmtId="2" xfId="0" applyAlignment="1" applyBorder="1" applyFill="1" applyFont="1" applyNumberFormat="1">
      <alignment horizontal="center" readingOrder="0"/>
    </xf>
    <xf borderId="0" fillId="0" fontId="2" numFmtId="0" xfId="0" applyAlignment="1" applyFont="1">
      <alignment horizontal="center"/>
    </xf>
    <xf borderId="22" fillId="0" fontId="1" numFmtId="164" xfId="0" applyAlignment="1" applyBorder="1" applyFont="1" applyNumberFormat="1">
      <alignment horizontal="center" vertical="center"/>
    </xf>
    <xf borderId="0" fillId="0" fontId="2" numFmtId="0" xfId="0" applyAlignment="1" applyFont="1">
      <alignment horizontal="left" shrinkToFit="0" wrapText="1"/>
    </xf>
    <xf borderId="40" fillId="0" fontId="1" numFmtId="0" xfId="0" applyAlignment="1" applyBorder="1" applyFont="1">
      <alignment horizontal="center"/>
    </xf>
    <xf borderId="0" fillId="0" fontId="2" numFmtId="0" xfId="0" applyAlignment="1" applyFont="1">
      <alignment horizontal="left"/>
    </xf>
    <xf borderId="51" fillId="19" fontId="1" numFmtId="0" xfId="0" applyAlignment="1" applyBorder="1" applyFill="1" applyFont="1">
      <alignment horizontal="center"/>
    </xf>
    <xf borderId="24" fillId="0" fontId="1" numFmtId="166" xfId="0" applyAlignment="1" applyBorder="1" applyFont="1" applyNumberFormat="1">
      <alignment horizontal="center"/>
    </xf>
    <xf borderId="24" fillId="0" fontId="1" numFmtId="2" xfId="0" applyAlignment="1" applyBorder="1" applyFont="1" applyNumberFormat="1">
      <alignment horizontal="center"/>
    </xf>
    <xf borderId="24" fillId="0" fontId="1" numFmtId="166" xfId="0" applyAlignment="1" applyBorder="1" applyFont="1" applyNumberFormat="1">
      <alignment horizontal="center" readingOrder="0"/>
    </xf>
    <xf borderId="24" fillId="0" fontId="1" numFmtId="0" xfId="0" applyAlignment="1" applyBorder="1" applyFont="1">
      <alignment horizontal="left" readingOrder="0"/>
    </xf>
    <xf borderId="44" fillId="13" fontId="1" numFmtId="0" xfId="0" applyAlignment="1" applyBorder="1" applyFill="1" applyFont="1">
      <alignment horizontal="center" readingOrder="0"/>
    </xf>
    <xf borderId="24" fillId="21" fontId="1" numFmtId="2" xfId="0" applyAlignment="1" applyBorder="1" applyFill="1" applyFont="1" applyNumberFormat="1">
      <alignment horizontal="center" readingOrder="0"/>
    </xf>
    <xf borderId="44" fillId="0" fontId="1" numFmtId="2" xfId="0" applyAlignment="1" applyBorder="1" applyFont="1" applyNumberFormat="1">
      <alignment horizontal="center"/>
    </xf>
    <xf borderId="45" fillId="0" fontId="1" numFmtId="0" xfId="0" applyAlignment="1" applyBorder="1" applyFont="1">
      <alignment horizontal="center"/>
    </xf>
    <xf borderId="45" fillId="0" fontId="1" numFmtId="0" xfId="0" applyAlignment="1" applyBorder="1" applyFont="1">
      <alignment horizontal="center" shrinkToFit="0" vertical="center" wrapText="1"/>
    </xf>
    <xf borderId="13" fillId="17" fontId="1" numFmtId="0" xfId="0" applyAlignment="1" applyBorder="1" applyFill="1" applyFont="1">
      <alignment horizontal="center"/>
    </xf>
    <xf borderId="22" fillId="3" fontId="8" numFmtId="0" xfId="0" applyAlignment="1" applyBorder="1" applyFill="1" applyFont="1">
      <alignment horizontal="center" readingOrder="0"/>
    </xf>
    <xf borderId="24" fillId="3" fontId="8" numFmtId="0" xfId="0" applyAlignment="1" applyBorder="1" applyFill="1" applyFont="1">
      <alignment horizontal="center" readingOrder="0"/>
    </xf>
    <xf borderId="24" fillId="3" fontId="8" numFmtId="2" xfId="0" applyAlignment="1" applyBorder="1" applyFill="1" applyFont="1" applyNumberFormat="1">
      <alignment horizontal="center" readingOrder="0"/>
    </xf>
    <xf borderId="24" fillId="3" fontId="9" numFmtId="0" xfId="0" applyAlignment="1" applyBorder="1" applyFill="1" applyFont="1">
      <alignment horizontal="center" readingOrder="0"/>
    </xf>
    <xf borderId="44" fillId="3" fontId="9" numFmtId="0" xfId="0" applyAlignment="1" applyBorder="1" applyFill="1" applyFont="1">
      <alignment horizontal="center" readingOrder="0"/>
    </xf>
    <xf borderId="0" fillId="0" fontId="1" numFmtId="166" xfId="0" applyAlignment="1" applyFont="1" applyNumberFormat="1">
      <alignment horizontal="center"/>
    </xf>
    <xf borderId="0" fillId="0" fontId="2" numFmtId="166" xfId="0" applyFont="1" applyNumberFormat="1"/>
    <xf borderId="0" fillId="0" fontId="2" numFmtId="0" xfId="0" applyFont="1"/>
    <xf borderId="0" fillId="0" fontId="1" numFmtId="166" xfId="0" applyFont="1" applyNumberFormat="1"/>
    <xf borderId="34" fillId="0" fontId="1" numFmtId="0" xfId="0" applyAlignment="1" applyBorder="1" applyFont="1">
      <alignment horizontal="center" readingOrder="0" shrinkToFit="0" vertical="center" wrapText="1"/>
    </xf>
    <xf borderId="37" fillId="0" fontId="1" numFmtId="0" xfId="0" applyAlignment="1" applyBorder="1" applyFont="1">
      <alignment horizontal="center" readingOrder="0" shrinkToFit="0" vertical="center" wrapText="1"/>
    </xf>
    <xf borderId="45" fillId="0" fontId="1" numFmtId="0" xfId="0" applyAlignment="1" applyBorder="1" applyFont="1">
      <alignment horizontal="center" readingOrder="0" shrinkToFit="0" vertical="center" wrapText="1"/>
    </xf>
    <xf borderId="0" fillId="3" fontId="9" numFmtId="0" xfId="0" applyAlignment="1" applyFill="1" applyFont="1">
      <alignment readingOrder="0"/>
    </xf>
    <xf borderId="13" fillId="0" fontId="2" numFmtId="0" xfId="0" applyAlignment="1" applyBorder="1" applyFont="1">
      <alignment horizontal="center" readingOrder="0"/>
    </xf>
    <xf borderId="50" fillId="0" fontId="2" numFmtId="164" xfId="0" applyBorder="1" applyFont="1" applyNumberFormat="1"/>
    <xf borderId="50" fillId="0" fontId="2" numFmtId="0" xfId="0" applyBorder="1" applyFont="1"/>
    <xf borderId="50" fillId="0" fontId="2" numFmtId="166" xfId="0" applyBorder="1" applyFont="1" applyNumberFormat="1"/>
    <xf borderId="14" fillId="0" fontId="2" numFmtId="0" xfId="0" applyBorder="1" applyFont="1"/>
    <xf borderId="9" fillId="0" fontId="2" numFmtId="0" xfId="0" applyBorder="1" applyFont="1"/>
    <xf borderId="9" fillId="4" fontId="2" numFmtId="0" xfId="0" applyAlignment="1" applyBorder="1" applyFill="1" applyFont="1">
      <alignment readingOrder="0"/>
    </xf>
    <xf borderId="9" fillId="6" fontId="2" numFmtId="0" xfId="0" applyAlignment="1" applyBorder="1" applyFill="1" applyFont="1">
      <alignment readingOrder="0"/>
    </xf>
    <xf borderId="9" fillId="8" fontId="2" numFmtId="0" xfId="0" applyAlignment="1" applyBorder="1" applyFill="1" applyFont="1">
      <alignment readingOrder="0"/>
    </xf>
    <xf borderId="9" fillId="12" fontId="2" numFmtId="0" xfId="0" applyAlignment="1" applyBorder="1" applyFill="1" applyFont="1">
      <alignment readingOrder="0"/>
    </xf>
    <xf borderId="9" fillId="16" fontId="2" numFmtId="0" xfId="0" applyAlignment="1" applyBorder="1" applyFill="1" applyFont="1">
      <alignment readingOrder="0"/>
    </xf>
    <xf borderId="9" fillId="17" fontId="2" numFmtId="0" xfId="0" applyAlignment="1" applyBorder="1" applyFill="1" applyFont="1">
      <alignment readingOrder="0"/>
    </xf>
    <xf borderId="9" fillId="19" fontId="2" numFmtId="0" xfId="0" applyAlignment="1" applyBorder="1" applyFill="1" applyFont="1">
      <alignment readingOrder="0"/>
    </xf>
    <xf borderId="9" fillId="12" fontId="2" numFmtId="0" xfId="0" applyAlignment="1" applyBorder="1" applyFill="1" applyFont="1">
      <alignment horizontal="center"/>
    </xf>
    <xf borderId="9" fillId="19" fontId="2" numFmtId="0" xfId="0" applyAlignment="1" applyBorder="1" applyFill="1" applyFont="1">
      <alignment horizontal="center"/>
    </xf>
    <xf borderId="9" fillId="12" fontId="2" numFmtId="0" xfId="0" applyBorder="1" applyFill="1" applyFont="1"/>
    <xf borderId="9" fillId="6" fontId="2" numFmtId="0" xfId="0" applyBorder="1" applyFill="1" applyFont="1"/>
    <xf borderId="9" fillId="4" fontId="2" numFmtId="0" xfId="0" applyBorder="1" applyFill="1" applyFont="1"/>
    <xf borderId="9" fillId="6" fontId="2" numFmtId="0" xfId="0" applyAlignment="1" applyBorder="1" applyFill="1" applyFont="1">
      <alignment horizontal="center"/>
    </xf>
    <xf borderId="9" fillId="16" fontId="2" numFmtId="0" xfId="0" applyBorder="1" applyFill="1" applyFont="1"/>
    <xf borderId="9" fillId="8" fontId="2" numFmtId="0" xfId="0" applyBorder="1" applyFill="1" applyFont="1"/>
    <xf borderId="9" fillId="17" fontId="2" numFmtId="0" xfId="0" applyBorder="1" applyFill="1" applyFont="1"/>
    <xf borderId="9" fillId="12" fontId="2" numFmtId="0" xfId="0" applyAlignment="1" applyBorder="1" applyFill="1" applyFont="1">
      <alignment horizontal="center" readingOrder="0"/>
    </xf>
    <xf borderId="9" fillId="19" fontId="2" numFmtId="0" xfId="0" applyBorder="1" applyFill="1" applyFont="1"/>
    <xf borderId="9" fillId="4" fontId="2" numFmtId="0" xfId="0" applyAlignment="1" applyBorder="1" applyFill="1" applyFont="1">
      <alignment horizontal="center" readingOrder="0"/>
    </xf>
    <xf borderId="9" fillId="4" fontId="2" numFmtId="0" xfId="0" applyAlignment="1" applyBorder="1" applyFill="1" applyFont="1">
      <alignment horizontal="center"/>
    </xf>
    <xf borderId="9" fillId="0" fontId="2" numFmtId="0" xfId="0" applyAlignment="1" applyBorder="1" applyFont="1">
      <alignment readingOrder="0"/>
    </xf>
    <xf borderId="9" fillId="16" fontId="2" numFmtId="0" xfId="0" applyAlignment="1" applyBorder="1" applyFill="1" applyFont="1">
      <alignment horizontal="center" readingOrder="0"/>
    </xf>
    <xf borderId="9" fillId="19" fontId="2" numFmtId="0" xfId="0" applyAlignment="1" applyBorder="1" applyFill="1" applyFont="1">
      <alignment horizontal="center" readingOrder="0"/>
    </xf>
    <xf borderId="9" fillId="6" fontId="2" numFmtId="0" xfId="0" applyAlignment="1" applyBorder="1" applyFill="1" applyFont="1">
      <alignment horizontal="center" readingOrder="0"/>
    </xf>
    <xf borderId="9" fillId="17" fontId="2" numFmtId="0" xfId="0" applyAlignment="1" applyBorder="1" applyFill="1" applyFont="1">
      <alignment horizontal="center" readingOrder="0"/>
    </xf>
    <xf borderId="52" fillId="0" fontId="2" numFmtId="0" xfId="0" applyAlignment="1" applyBorder="1" applyFont="1">
      <alignment horizontal="center" readingOrder="0"/>
    </xf>
    <xf borderId="30" fillId="0" fontId="2" numFmtId="164" xfId="0" applyBorder="1" applyFont="1" applyNumberFormat="1"/>
    <xf borderId="30" fillId="0" fontId="2" numFmtId="0" xfId="0" applyBorder="1" applyFont="1"/>
    <xf borderId="30" fillId="0" fontId="2" numFmtId="166" xfId="0" applyBorder="1" applyFont="1" applyNumberFormat="1"/>
    <xf borderId="13" fillId="0" fontId="2" numFmtId="0" xfId="0" applyBorder="1" applyFont="1"/>
    <xf borderId="36" fillId="0" fontId="2" numFmtId="0" xfId="0" applyBorder="1" applyFont="1"/>
    <xf borderId="52" fillId="0" fontId="2" numFmtId="0" xfId="0" applyAlignment="1" applyBorder="1" applyFont="1">
      <alignment readingOrder="0"/>
    </xf>
    <xf borderId="9" fillId="18" fontId="2" numFmtId="0" xfId="0" applyAlignment="1" applyBorder="1" applyFill="1" applyFont="1">
      <alignment readingOrder="0"/>
    </xf>
    <xf borderId="9" fillId="17" fontId="2" numFmtId="0" xfId="0" applyAlignment="1" applyBorder="1" applyFill="1" applyFont="1">
      <alignment horizontal="center"/>
    </xf>
    <xf borderId="9" fillId="18" fontId="2" numFmtId="0" xfId="0" applyBorder="1" applyFill="1" applyFont="1"/>
    <xf borderId="13" fillId="0" fontId="2" numFmtId="0" xfId="0" applyAlignment="1" applyBorder="1" applyFont="1">
      <alignment readingOrder="0"/>
    </xf>
    <xf borderId="9" fillId="8" fontId="2" numFmtId="0" xfId="0" applyAlignment="1" applyBorder="1" applyFill="1" applyFont="1">
      <alignment horizontal="center"/>
    </xf>
    <xf borderId="9" fillId="8" fontId="2" numFmtId="0" xfId="0" applyAlignment="1" applyBorder="1" applyFill="1" applyFont="1">
      <alignment horizontal="center" readingOrder="0"/>
    </xf>
    <xf borderId="9" fillId="16" fontId="2" numFmtId="0" xfId="0" applyAlignment="1" applyBorder="1" applyFill="1" applyFont="1">
      <alignment horizontal="center"/>
    </xf>
    <xf borderId="9" fillId="19" fontId="14" numFmtId="0" xfId="0" applyAlignment="1" applyBorder="1" applyFill="1" applyFont="1">
      <alignment readingOrder="0"/>
    </xf>
    <xf borderId="53" fillId="0" fontId="2" numFmtId="0" xfId="0" applyAlignment="1" applyBorder="1" applyFont="1">
      <alignment readingOrder="0"/>
    </xf>
    <xf borderId="53" fillId="4" fontId="2" numFmtId="0" xfId="0" applyAlignment="1" applyBorder="1" applyFill="1" applyFont="1">
      <alignment readingOrder="0"/>
    </xf>
    <xf borderId="53" fillId="6" fontId="2" numFmtId="0" xfId="0" applyAlignment="1" applyBorder="1" applyFill="1" applyFont="1">
      <alignment readingOrder="0"/>
    </xf>
    <xf borderId="53" fillId="8" fontId="2" numFmtId="0" xfId="0" applyAlignment="1" applyBorder="1" applyFill="1" applyFont="1">
      <alignment readingOrder="0"/>
    </xf>
    <xf borderId="53" fillId="12" fontId="2" numFmtId="0" xfId="0" applyAlignment="1" applyBorder="1" applyFill="1" applyFont="1">
      <alignment readingOrder="0"/>
    </xf>
    <xf borderId="53" fillId="16" fontId="2" numFmtId="0" xfId="0" applyAlignment="1" applyBorder="1" applyFill="1" applyFont="1">
      <alignment readingOrder="0"/>
    </xf>
    <xf borderId="53" fillId="17" fontId="2" numFmtId="0" xfId="0" applyAlignment="1" applyBorder="1" applyFill="1" applyFont="1">
      <alignment readingOrder="0"/>
    </xf>
    <xf borderId="53" fillId="19" fontId="2" numFmtId="0" xfId="0" applyAlignment="1" applyBorder="1" applyFill="1" applyFont="1">
      <alignment readingOrder="0"/>
    </xf>
    <xf borderId="53" fillId="12" fontId="2" numFmtId="0" xfId="0" applyAlignment="1" applyBorder="1" applyFill="1" applyFont="1">
      <alignment horizontal="center" readingOrder="0"/>
    </xf>
    <xf borderId="53" fillId="0" fontId="2" numFmtId="0" xfId="0" applyAlignment="1" applyBorder="1" applyFont="1">
      <alignment horizontal="center"/>
    </xf>
    <xf borderId="53" fillId="12" fontId="2" numFmtId="0" xfId="0" applyAlignment="1" applyBorder="1" applyFill="1" applyFont="1">
      <alignment horizontal="center"/>
    </xf>
    <xf borderId="53" fillId="17" fontId="2" numFmtId="0" xfId="0" applyAlignment="1" applyBorder="1" applyFill="1" applyFont="1">
      <alignment horizontal="center" readingOrder="0"/>
    </xf>
    <xf borderId="53" fillId="19" fontId="2" numFmtId="0" xfId="0" applyBorder="1" applyFill="1" applyFont="1"/>
    <xf borderId="53" fillId="16" fontId="2" numFmtId="0" xfId="0" applyBorder="1" applyFill="1" applyFont="1"/>
    <xf borderId="9" fillId="22" fontId="2" numFmtId="0" xfId="0" applyAlignment="1" applyBorder="1" applyFill="1" applyFont="1">
      <alignment horizontal="center"/>
    </xf>
    <xf borderId="54" fillId="0" fontId="2" numFmtId="0" xfId="0" applyAlignment="1" applyBorder="1" applyFont="1">
      <alignment readingOrder="0"/>
    </xf>
    <xf borderId="54" fillId="0" fontId="2" numFmtId="0" xfId="0" applyAlignment="1" applyBorder="1" applyFont="1">
      <alignment horizontal="center" readingOrder="0"/>
    </xf>
    <xf borderId="54" fillId="0" fontId="2" numFmtId="0" xfId="0" applyAlignment="1" applyBorder="1" applyFont="1">
      <alignment horizontal="center"/>
    </xf>
    <xf borderId="54" fillId="0" fontId="2" numFmtId="0" xfId="0" applyBorder="1" applyFont="1"/>
    <xf borderId="9" fillId="18" fontId="2" numFmtId="0" xfId="0" applyAlignment="1" applyBorder="1" applyFill="1" applyFont="1">
      <alignment horizontal="center"/>
    </xf>
    <xf borderId="34" fillId="0" fontId="10" numFmtId="0" xfId="0" applyAlignment="1" applyBorder="1" applyFont="1">
      <alignment horizontal="center" readingOrder="0" shrinkToFit="0" vertical="center" wrapText="1"/>
    </xf>
    <xf borderId="37" fillId="0" fontId="10" numFmtId="0" xfId="0" applyAlignment="1" applyBorder="1" applyFont="1">
      <alignment horizontal="center" readingOrder="0" shrinkToFit="0" vertical="center" wrapText="1"/>
    </xf>
    <xf borderId="53" fillId="23" fontId="2" numFmtId="0" xfId="0" applyAlignment="1" applyBorder="1" applyFill="1" applyFont="1">
      <alignment readingOrder="0"/>
    </xf>
    <xf borderId="50" fillId="12" fontId="2" numFmtId="0" xfId="0" applyAlignment="1" applyBorder="1" applyFill="1" applyFont="1">
      <alignment horizontal="center"/>
    </xf>
    <xf borderId="53" fillId="24" fontId="15" numFmtId="0" xfId="0" applyAlignment="1" applyBorder="1" applyFill="1" applyFont="1">
      <alignment horizontal="center"/>
    </xf>
    <xf borderId="53" fillId="8" fontId="2" numFmtId="0" xfId="0" applyAlignment="1" applyBorder="1" applyFill="1" applyFont="1">
      <alignment horizontal="center"/>
    </xf>
    <xf borderId="50" fillId="0" fontId="2" numFmtId="0" xfId="0" applyAlignment="1" applyBorder="1" applyFont="1">
      <alignment readingOrder="0"/>
    </xf>
    <xf borderId="50" fillId="8" fontId="2" numFmtId="0" xfId="0" applyAlignment="1" applyBorder="1" applyFill="1" applyFont="1">
      <alignment horizontal="center"/>
    </xf>
    <xf borderId="50" fillId="17" fontId="2" numFmtId="0" xfId="0" applyAlignment="1" applyBorder="1" applyFill="1" applyFont="1">
      <alignment horizontal="center"/>
    </xf>
    <xf borderId="0" fillId="0" fontId="9" numFmtId="0" xfId="0" applyAlignment="1" applyFont="1">
      <alignment readingOrder="0"/>
    </xf>
    <xf borderId="50" fillId="4" fontId="2" numFmtId="0" xfId="0" applyAlignment="1" applyBorder="1" applyFill="1" applyFont="1">
      <alignment horizontal="center"/>
    </xf>
    <xf borderId="50" fillId="16" fontId="2" numFmtId="0" xfId="0" applyAlignment="1" applyBorder="1" applyFill="1" applyFont="1">
      <alignment horizontal="center"/>
    </xf>
    <xf borderId="0" fillId="25" fontId="9" numFmtId="0" xfId="0" applyAlignment="1" applyFill="1" applyFont="1">
      <alignment readingOrder="0"/>
    </xf>
    <xf borderId="0" fillId="21" fontId="9" numFmtId="0" xfId="0" applyAlignment="1" applyFill="1" applyFont="1">
      <alignment readingOrder="0"/>
    </xf>
    <xf borderId="9" fillId="25" fontId="2" numFmtId="0" xfId="0" applyAlignment="1" applyBorder="1" applyFill="1" applyFont="1">
      <alignment readingOrder="0"/>
    </xf>
    <xf borderId="45" fillId="0" fontId="10" numFmtId="0" xfId="0" applyAlignment="1" applyBorder="1" applyFont="1">
      <alignment horizontal="center" readingOrder="0" shrinkToFit="0" vertical="center" wrapText="1"/>
    </xf>
    <xf borderId="9" fillId="21" fontId="2" numFmtId="0" xfId="0" applyBorder="1" applyFill="1" applyFont="1"/>
    <xf borderId="9" fillId="21" fontId="2" numFmtId="0" xfId="0" applyAlignment="1" applyBorder="1" applyFill="1" applyFont="1">
      <alignment readingOrder="0"/>
    </xf>
    <xf borderId="9" fillId="19" fontId="2" numFmtId="0" xfId="0" applyAlignment="1" applyBorder="1" applyFill="1" applyFont="1">
      <alignment horizontal="center" shrinkToFit="0" wrapText="0"/>
    </xf>
    <xf borderId="9" fillId="6" fontId="2" numFmtId="0" xfId="0" applyAlignment="1" applyBorder="1" applyFill="1" applyFont="1">
      <alignment horizontal="center" shrinkToFit="0" wrapText="0"/>
    </xf>
    <xf borderId="9" fillId="8" fontId="2" numFmtId="0" xfId="0" applyAlignment="1" applyBorder="1" applyFill="1" applyFont="1">
      <alignment horizontal="center" shrinkToFit="0" wrapText="0"/>
    </xf>
    <xf borderId="50" fillId="18" fontId="2" numFmtId="0" xfId="0" applyBorder="1" applyFill="1" applyFont="1"/>
    <xf borderId="9" fillId="25" fontId="2" numFmtId="0" xfId="0" applyBorder="1" applyFill="1" applyFont="1"/>
    <xf borderId="9" fillId="12" fontId="2" numFmtId="0" xfId="0" applyAlignment="1" applyBorder="1" applyFill="1" applyFont="1">
      <alignment horizontal="center" readingOrder="0" shrinkToFit="0" wrapText="0"/>
    </xf>
    <xf borderId="9" fillId="12" fontId="2" numFmtId="0" xfId="0" applyAlignment="1" applyBorder="1" applyFill="1" applyFont="1">
      <alignment horizontal="center" shrinkToFit="0" wrapText="0"/>
    </xf>
    <xf borderId="9" fillId="16" fontId="2" numFmtId="0" xfId="0" applyAlignment="1" applyBorder="1" applyFill="1" applyFont="1">
      <alignment horizontal="center" shrinkToFit="0" wrapText="0"/>
    </xf>
    <xf borderId="9" fillId="17" fontId="2" numFmtId="0" xfId="0" applyAlignment="1" applyBorder="1" applyFill="1" applyFont="1">
      <alignment horizontal="center" shrinkToFit="0" wrapText="0"/>
    </xf>
    <xf borderId="0" fillId="3" fontId="9" numFmtId="0" xfId="0" applyAlignment="1" applyFill="1" applyFont="1">
      <alignment horizontal="center" readingOrder="0" vertical="center"/>
    </xf>
    <xf borderId="0" fillId="3" fontId="9" numFmtId="166" xfId="0" applyAlignment="1" applyFill="1" applyFont="1" applyNumberFormat="1">
      <alignment readingOrder="0"/>
    </xf>
    <xf borderId="53" fillId="19" fontId="2" numFmtId="0" xfId="0" applyAlignment="1" applyBorder="1" applyFill="1" applyFont="1">
      <alignment horizontal="center"/>
    </xf>
    <xf borderId="0" fillId="0" fontId="2" numFmtId="0" xfId="0" applyAlignment="1" applyFont="1">
      <alignment horizontal="center" readingOrder="0" vertical="center"/>
    </xf>
    <xf borderId="9" fillId="4" fontId="2" numFmtId="0" xfId="0" applyAlignment="1" applyBorder="1" applyFill="1" applyFont="1">
      <alignment horizontal="center" vertical="center"/>
    </xf>
    <xf borderId="9" fillId="6" fontId="2" numFmtId="0" xfId="0" applyAlignment="1" applyBorder="1" applyFill="1" applyFont="1">
      <alignment horizontal="center" readingOrder="0" vertical="center"/>
    </xf>
    <xf borderId="9" fillId="8" fontId="2" numFmtId="0" xfId="0" applyAlignment="1" applyBorder="1" applyFill="1" applyFont="1">
      <alignment horizontal="center" vertical="center"/>
    </xf>
    <xf borderId="9" fillId="12" fontId="2" numFmtId="0" xfId="0" applyAlignment="1" applyBorder="1" applyFill="1" applyFont="1">
      <alignment horizontal="center" vertical="center"/>
    </xf>
    <xf borderId="9" fillId="16" fontId="2" numFmtId="0" xfId="0" applyAlignment="1" applyBorder="1" applyFill="1" applyFont="1">
      <alignment horizontal="center" readingOrder="0" vertical="center"/>
    </xf>
    <xf borderId="9" fillId="17" fontId="2" numFmtId="0" xfId="0" applyAlignment="1" applyBorder="1" applyFill="1" applyFont="1">
      <alignment horizontal="center" readingOrder="0" vertical="center"/>
    </xf>
    <xf borderId="9" fillId="18" fontId="2" numFmtId="0" xfId="0" applyAlignment="1" applyBorder="1" applyFill="1" applyFont="1">
      <alignment horizontal="center" vertical="center"/>
    </xf>
    <xf borderId="9" fillId="6" fontId="2" numFmtId="0" xfId="0" applyAlignment="1" applyBorder="1" applyFill="1" applyFont="1">
      <alignment horizontal="center" vertical="center"/>
    </xf>
    <xf borderId="9" fillId="0" fontId="2" numFmtId="0" xfId="0" applyAlignment="1" applyBorder="1" applyFont="1">
      <alignment horizontal="center" vertical="center"/>
    </xf>
    <xf borderId="9" fillId="17" fontId="2" numFmtId="0" xfId="0" applyAlignment="1" applyBorder="1" applyFill="1" applyFont="1">
      <alignment horizontal="center" vertical="center"/>
    </xf>
    <xf borderId="9" fillId="16" fontId="2" numFmtId="0" xfId="0" applyAlignment="1" applyBorder="1" applyFill="1" applyFont="1">
      <alignment horizontal="center" vertical="center"/>
    </xf>
    <xf borderId="9" fillId="12" fontId="2" numFmtId="0" xfId="0" applyAlignment="1" applyBorder="1" applyFill="1" applyFont="1">
      <alignment horizontal="center" readingOrder="0" vertical="center"/>
    </xf>
    <xf borderId="9" fillId="8" fontId="2" numFmtId="0" xfId="0" applyAlignment="1" applyBorder="1" applyFill="1" applyFont="1">
      <alignment horizontal="center" readingOrder="0" vertical="center"/>
    </xf>
    <xf borderId="9" fillId="4" fontId="2" numFmtId="0" xfId="0" applyAlignment="1" applyBorder="1" applyFill="1" applyFont="1">
      <alignment horizontal="center" readingOrder="0" vertical="center"/>
    </xf>
    <xf borderId="54" fillId="0" fontId="2" numFmtId="164" xfId="0" applyBorder="1" applyFont="1" applyNumberFormat="1"/>
    <xf borderId="54" fillId="0" fontId="2" numFmtId="166" xfId="0" applyBorder="1" applyFont="1" applyNumberFormat="1"/>
    <xf borderId="9" fillId="8" fontId="2" numFmtId="0" xfId="0" applyAlignment="1" applyBorder="1" applyFill="1" applyFont="1">
      <alignment horizontal="center" readingOrder="0" shrinkToFit="0" wrapText="0"/>
    </xf>
    <xf borderId="55" fillId="0" fontId="2" numFmtId="0" xfId="0" applyBorder="1" applyFont="1"/>
    <xf borderId="9" fillId="4" fontId="2" numFmtId="0" xfId="0" applyAlignment="1" applyBorder="1" applyFill="1" applyFont="1">
      <alignment horizontal="center" shrinkToFit="0" wrapText="0"/>
    </xf>
    <xf quotePrefix="1" borderId="0" fillId="0" fontId="2" numFmtId="0" xfId="0" applyAlignment="1" applyFont="1">
      <alignment horizontal="center" readingOrder="0" vertical="center"/>
    </xf>
    <xf borderId="53" fillId="6" fontId="2" numFmtId="0" xfId="0" applyAlignment="1" applyBorder="1" applyFill="1" applyFont="1">
      <alignment horizontal="center"/>
    </xf>
    <xf borderId="9" fillId="4" fontId="2" numFmtId="0" xfId="0" applyAlignment="1" applyBorder="1" applyFill="1" applyFont="1">
      <alignment horizontal="center" readingOrder="0" shrinkToFit="0" wrapText="0"/>
    </xf>
    <xf borderId="53" fillId="4" fontId="2" numFmtId="0" xfId="0" applyAlignment="1" applyBorder="1" applyFill="1" applyFont="1">
      <alignment horizontal="center"/>
    </xf>
    <xf borderId="9" fillId="6" fontId="2" numFmtId="0" xfId="0" applyAlignment="1" applyBorder="1" applyFill="1" applyFont="1">
      <alignment horizontal="center" readingOrder="0" shrinkToFit="0" wrapText="0"/>
    </xf>
    <xf borderId="9" fillId="18" fontId="2" numFmtId="0" xfId="0" applyAlignment="1" applyBorder="1" applyFill="1" applyFont="1">
      <alignment horizontal="center" readingOrder="0" vertical="center"/>
    </xf>
    <xf borderId="56" fillId="0" fontId="2" numFmtId="0" xfId="0" applyBorder="1" applyFont="1"/>
    <xf borderId="53" fillId="16" fontId="2" numFmtId="0" xfId="0" applyAlignment="1" applyBorder="1" applyFill="1" applyFont="1">
      <alignment horizontal="center"/>
    </xf>
    <xf borderId="52" fillId="0" fontId="2" numFmtId="0" xfId="0" applyBorder="1" applyFont="1"/>
    <xf borderId="0" fillId="0" fontId="2" numFmtId="0" xfId="0" applyAlignment="1" applyFont="1">
      <alignment horizontal="center" vertical="center"/>
    </xf>
    <xf borderId="9" fillId="0" fontId="2" numFmtId="0" xfId="0" applyAlignment="1" applyBorder="1" applyFont="1">
      <alignment horizontal="center" readingOrder="0" shrinkToFit="0" wrapText="0"/>
    </xf>
    <xf borderId="54" fillId="0" fontId="2" numFmtId="0" xfId="0" applyAlignment="1" applyBorder="1" applyFont="1">
      <alignment horizontal="center" shrinkToFit="0" wrapText="0"/>
    </xf>
    <xf borderId="30" fillId="0" fontId="16" numFmtId="0" xfId="0" applyAlignment="1" applyBorder="1" applyFont="1">
      <alignment horizontal="left" readingOrder="0"/>
    </xf>
    <xf borderId="0" fillId="26" fontId="17" numFmtId="0" xfId="0" applyAlignment="1" applyFill="1" applyFont="1">
      <alignment horizontal="left" readingOrder="0" shrinkToFit="0" wrapText="0"/>
    </xf>
    <xf borderId="47" fillId="3" fontId="1" numFmtId="0" xfId="0" applyAlignment="1" applyBorder="1" applyFill="1" applyFont="1">
      <alignment horizontal="center" readingOrder="0"/>
    </xf>
    <xf borderId="30" fillId="3" fontId="1" numFmtId="0" xfId="0" applyAlignment="1" applyBorder="1" applyFill="1" applyFont="1">
      <alignment horizontal="center" readingOrder="0"/>
    </xf>
    <xf borderId="48" fillId="3" fontId="1" numFmtId="0" xfId="0" applyAlignment="1" applyBorder="1" applyFill="1" applyFont="1">
      <alignment horizontal="center" readingOrder="0"/>
    </xf>
    <xf borderId="24" fillId="3" fontId="1" numFmtId="0" xfId="0" applyAlignment="1" applyBorder="1" applyFill="1" applyFont="1">
      <alignment horizontal="center" readingOrder="0"/>
    </xf>
    <xf borderId="44" fillId="3" fontId="1" numFmtId="0" xfId="0" applyAlignment="1" applyBorder="1" applyFill="1" applyFont="1">
      <alignment horizontal="center" readingOrder="0"/>
    </xf>
    <xf borderId="31" fillId="4" fontId="1" numFmtId="164" xfId="0" applyAlignment="1" applyBorder="1" applyFill="1" applyFont="1" applyNumberFormat="1">
      <alignment horizontal="center"/>
    </xf>
    <xf borderId="32" fillId="4" fontId="1" numFmtId="0" xfId="0" applyAlignment="1" applyBorder="1" applyFill="1" applyFont="1">
      <alignment horizontal="center" vertical="bottom"/>
    </xf>
    <xf borderId="33" fillId="4" fontId="1" numFmtId="166" xfId="0" applyAlignment="1" applyBorder="1" applyFill="1" applyFont="1" applyNumberFormat="1">
      <alignment horizontal="center" vertical="bottom"/>
    </xf>
    <xf borderId="19" fillId="10" fontId="1" numFmtId="0" xfId="0" applyAlignment="1" applyBorder="1" applyFill="1" applyFont="1">
      <alignment horizontal="center" vertical="bottom"/>
    </xf>
    <xf borderId="35" fillId="6" fontId="1" numFmtId="164" xfId="0" applyAlignment="1" applyBorder="1" applyFill="1" applyFont="1" applyNumberFormat="1">
      <alignment horizontal="center"/>
    </xf>
    <xf borderId="36" fillId="6" fontId="1" numFmtId="0" xfId="0" applyAlignment="1" applyBorder="1" applyFill="1" applyFont="1">
      <alignment horizontal="center" vertical="bottom"/>
    </xf>
    <xf borderId="30" fillId="6" fontId="1" numFmtId="166" xfId="0" applyAlignment="1" applyBorder="1" applyFill="1" applyFont="1" applyNumberFormat="1">
      <alignment horizontal="center" vertical="bottom"/>
    </xf>
    <xf borderId="23" fillId="10" fontId="1" numFmtId="0" xfId="0" applyAlignment="1" applyBorder="1" applyFill="1" applyFont="1">
      <alignment horizontal="center" vertical="bottom"/>
    </xf>
    <xf borderId="35" fillId="8" fontId="1" numFmtId="164" xfId="0" applyAlignment="1" applyBorder="1" applyFill="1" applyFont="1" applyNumberFormat="1">
      <alignment horizontal="center"/>
    </xf>
    <xf borderId="36" fillId="8" fontId="1" numFmtId="0" xfId="0" applyAlignment="1" applyBorder="1" applyFill="1" applyFont="1">
      <alignment horizontal="center" vertical="bottom"/>
    </xf>
    <xf borderId="30" fillId="8" fontId="1" numFmtId="166" xfId="0" applyAlignment="1" applyBorder="1" applyFill="1" applyFont="1" applyNumberFormat="1">
      <alignment horizontal="center" vertical="bottom"/>
    </xf>
    <xf borderId="35" fillId="12" fontId="1" numFmtId="164" xfId="0" applyAlignment="1" applyBorder="1" applyFill="1" applyFont="1" applyNumberFormat="1">
      <alignment horizontal="center"/>
    </xf>
    <xf borderId="36" fillId="12" fontId="1" numFmtId="0" xfId="0" applyAlignment="1" applyBorder="1" applyFill="1" applyFont="1">
      <alignment horizontal="center" vertical="bottom"/>
    </xf>
    <xf borderId="30" fillId="12" fontId="1" numFmtId="166" xfId="0" applyAlignment="1" applyBorder="1" applyFill="1" applyFont="1" applyNumberFormat="1">
      <alignment horizontal="center" vertical="bottom"/>
    </xf>
    <xf borderId="35" fillId="16" fontId="1" numFmtId="164" xfId="0" applyAlignment="1" applyBorder="1" applyFill="1" applyFont="1" applyNumberFormat="1">
      <alignment horizontal="center"/>
    </xf>
    <xf borderId="36" fillId="16" fontId="1" numFmtId="0" xfId="0" applyAlignment="1" applyBorder="1" applyFill="1" applyFont="1">
      <alignment horizontal="center" vertical="bottom"/>
    </xf>
    <xf borderId="30" fillId="16" fontId="1" numFmtId="166" xfId="0" applyAlignment="1" applyBorder="1" applyFill="1" applyFont="1" applyNumberFormat="1">
      <alignment horizontal="center" vertical="bottom"/>
    </xf>
    <xf borderId="35" fillId="17" fontId="1" numFmtId="164" xfId="0" applyAlignment="1" applyBorder="1" applyFill="1" applyFont="1" applyNumberFormat="1">
      <alignment horizontal="center"/>
    </xf>
    <xf borderId="36" fillId="17" fontId="1" numFmtId="0" xfId="0" applyAlignment="1" applyBorder="1" applyFill="1" applyFont="1">
      <alignment horizontal="center" vertical="bottom"/>
    </xf>
    <xf borderId="52" fillId="17" fontId="1" numFmtId="166" xfId="0" applyAlignment="1" applyBorder="1" applyFill="1" applyFont="1" applyNumberFormat="1">
      <alignment horizontal="center" vertical="bottom"/>
    </xf>
    <xf borderId="30" fillId="17" fontId="1" numFmtId="166" xfId="0" applyAlignment="1" applyBorder="1" applyFill="1" applyFont="1" applyNumberFormat="1">
      <alignment horizontal="center" vertical="bottom"/>
    </xf>
    <xf borderId="1" fillId="0" fontId="1" numFmtId="0" xfId="0" applyAlignment="1" applyBorder="1" applyFont="1">
      <alignment horizontal="center" readingOrder="0" vertical="center"/>
    </xf>
    <xf borderId="1" fillId="0" fontId="1" numFmtId="0" xfId="0" applyBorder="1" applyFont="1"/>
    <xf borderId="33" fillId="4" fontId="1" numFmtId="0" xfId="0" applyAlignment="1" applyBorder="1" applyFill="1" applyFont="1">
      <alignment readingOrder="0" vertical="bottom"/>
    </xf>
    <xf borderId="31" fillId="10" fontId="1" numFmtId="0" xfId="0" applyAlignment="1" applyBorder="1" applyFill="1" applyFont="1">
      <alignment horizontal="center" readingOrder="0" vertical="bottom"/>
    </xf>
    <xf borderId="33" fillId="10" fontId="1" numFmtId="0" xfId="0" applyAlignment="1" applyBorder="1" applyFill="1" applyFont="1">
      <alignment horizontal="center" readingOrder="0" vertical="bottom"/>
    </xf>
    <xf borderId="33" fillId="3" fontId="1" numFmtId="0" xfId="0" applyAlignment="1" applyBorder="1" applyFill="1" applyFont="1">
      <alignment horizontal="center" vertical="bottom"/>
    </xf>
    <xf borderId="47" fillId="3" fontId="1" numFmtId="0" xfId="0" applyAlignment="1" applyBorder="1" applyFill="1" applyFont="1">
      <alignment horizontal="center" vertical="bottom"/>
    </xf>
    <xf borderId="34" fillId="27" fontId="1" numFmtId="0" xfId="0" applyAlignment="1" applyBorder="1" applyFill="1" applyFont="1">
      <alignment horizontal="center" vertical="bottom"/>
    </xf>
    <xf borderId="34" fillId="12" fontId="18" numFmtId="0" xfId="0" applyAlignment="1" applyBorder="1" applyFill="1" applyFont="1">
      <alignment horizontal="center" vertical="bottom"/>
    </xf>
    <xf borderId="34" fillId="0" fontId="1" numFmtId="0" xfId="0" applyBorder="1" applyFont="1"/>
    <xf borderId="30" fillId="6" fontId="1" numFmtId="0" xfId="0" applyAlignment="1" applyBorder="1" applyFill="1" applyFont="1">
      <alignment readingOrder="0" vertical="bottom"/>
    </xf>
    <xf borderId="35" fillId="10" fontId="1" numFmtId="0" xfId="0" applyAlignment="1" applyBorder="1" applyFill="1" applyFont="1">
      <alignment horizontal="center" readingOrder="0" vertical="bottom"/>
    </xf>
    <xf borderId="30" fillId="10" fontId="1" numFmtId="0" xfId="0" applyAlignment="1" applyBorder="1" applyFill="1" applyFont="1">
      <alignment horizontal="center" readingOrder="0" vertical="bottom"/>
    </xf>
    <xf borderId="30" fillId="3" fontId="1" numFmtId="0" xfId="0" applyAlignment="1" applyBorder="1" applyFill="1" applyFont="1">
      <alignment horizontal="center" vertical="bottom"/>
    </xf>
    <xf borderId="48" fillId="3" fontId="1" numFmtId="0" xfId="0" applyAlignment="1" applyBorder="1" applyFill="1" applyFont="1">
      <alignment horizontal="center" vertical="bottom"/>
    </xf>
    <xf borderId="37" fillId="27" fontId="1" numFmtId="0" xfId="0" applyAlignment="1" applyBorder="1" applyFill="1" applyFont="1">
      <alignment horizontal="center" vertical="bottom"/>
    </xf>
    <xf borderId="37" fillId="12" fontId="18" numFmtId="0" xfId="0" applyAlignment="1" applyBorder="1" applyFill="1" applyFont="1">
      <alignment horizontal="center" vertical="bottom"/>
    </xf>
    <xf borderId="37" fillId="0" fontId="1" numFmtId="0" xfId="0" applyBorder="1" applyFont="1"/>
    <xf borderId="30" fillId="8" fontId="1" numFmtId="0" xfId="0" applyAlignment="1" applyBorder="1" applyFill="1" applyFont="1">
      <alignment readingOrder="0" vertical="bottom"/>
    </xf>
    <xf borderId="30" fillId="12" fontId="1" numFmtId="0" xfId="0" applyAlignment="1" applyBorder="1" applyFill="1" applyFont="1">
      <alignment readingOrder="0" vertical="bottom"/>
    </xf>
    <xf borderId="30" fillId="16" fontId="1" numFmtId="0" xfId="0" applyAlignment="1" applyBorder="1" applyFill="1" applyFont="1">
      <alignment readingOrder="0" vertical="bottom"/>
    </xf>
    <xf borderId="30" fillId="17" fontId="1" numFmtId="0" xfId="0" applyAlignment="1" applyBorder="1" applyFill="1" applyFont="1">
      <alignment readingOrder="0" vertical="bottom"/>
    </xf>
    <xf borderId="0" fillId="3" fontId="1" numFmtId="0" xfId="0" applyAlignment="1" applyFill="1" applyFont="1">
      <alignment horizontal="center" vertical="bottom"/>
    </xf>
    <xf borderId="0" fillId="0" fontId="14" numFmtId="0" xfId="0" applyAlignment="1" applyFont="1">
      <alignment readingOrder="0"/>
    </xf>
    <xf borderId="0" fillId="0" fontId="2" numFmtId="0" xfId="0" applyAlignment="1" applyFont="1">
      <alignment horizontal="center" vertical="top"/>
    </xf>
    <xf borderId="37" fillId="27" fontId="1" numFmtId="0" xfId="0" applyAlignment="1" applyBorder="1" applyFill="1" applyFont="1">
      <alignment horizontal="center" readingOrder="0" vertical="bottom"/>
    </xf>
    <xf borderId="33" fillId="0" fontId="1" numFmtId="0" xfId="0" applyAlignment="1" applyBorder="1" applyFont="1">
      <alignment horizontal="center" readingOrder="0"/>
    </xf>
    <xf borderId="47" fillId="0" fontId="1" numFmtId="0" xfId="0" applyAlignment="1" applyBorder="1" applyFont="1">
      <alignment horizontal="center" readingOrder="0"/>
    </xf>
    <xf borderId="30" fillId="0" fontId="1" numFmtId="0" xfId="0" applyAlignment="1" applyBorder="1" applyFont="1">
      <alignment horizontal="center" readingOrder="0"/>
    </xf>
    <xf borderId="48" fillId="0" fontId="1" numFmtId="0" xfId="0" applyAlignment="1" applyBorder="1" applyFont="1">
      <alignment horizontal="center" readingOrder="0"/>
    </xf>
    <xf borderId="37" fillId="0" fontId="1" numFmtId="0" xfId="0" applyAlignment="1" applyBorder="1" applyFont="1">
      <alignment horizontal="center" readingOrder="0"/>
    </xf>
    <xf borderId="30" fillId="0" fontId="1" numFmtId="49" xfId="0" applyAlignment="1" applyBorder="1" applyFont="1" applyNumberFormat="1">
      <alignment horizontal="left" readingOrder="0"/>
    </xf>
    <xf borderId="57" fillId="0" fontId="1" numFmtId="0" xfId="0" applyAlignment="1" applyBorder="1" applyFont="1">
      <alignment horizontal="center" readingOrder="0" shrinkToFit="0" vertical="center" wrapText="1"/>
    </xf>
    <xf borderId="30" fillId="0" fontId="1" numFmtId="9" xfId="0" applyAlignment="1" applyBorder="1" applyFont="1" applyNumberFormat="1">
      <alignment horizontal="left" readingOrder="0"/>
    </xf>
    <xf borderId="1" fillId="0" fontId="1" numFmtId="0" xfId="0" applyAlignment="1" applyBorder="1" applyFont="1">
      <alignment vertical="center"/>
    </xf>
    <xf borderId="1" fillId="0" fontId="1" numFmtId="0" xfId="0" applyAlignment="1" applyBorder="1" applyFont="1">
      <alignment horizontal="center" vertical="center"/>
    </xf>
    <xf borderId="32" fillId="4" fontId="1" numFmtId="0" xfId="0" applyAlignment="1" applyBorder="1" applyFill="1" applyFont="1">
      <alignment horizontal="center" vertical="bottom"/>
    </xf>
    <xf borderId="33" fillId="0" fontId="1" numFmtId="0" xfId="0" applyAlignment="1" applyBorder="1" applyFont="1">
      <alignment horizontal="center" readingOrder="0" vertical="bottom"/>
    </xf>
    <xf borderId="47" fillId="0" fontId="1" numFmtId="0" xfId="0" applyAlignment="1" applyBorder="1" applyFont="1">
      <alignment vertical="bottom"/>
    </xf>
    <xf borderId="19" fillId="10" fontId="1" numFmtId="0" xfId="0" applyAlignment="1" applyBorder="1" applyFill="1" applyFont="1">
      <alignment horizontal="center" vertical="bottom"/>
    </xf>
    <xf borderId="34" fillId="27" fontId="1" numFmtId="0" xfId="0" applyAlignment="1" applyBorder="1" applyFill="1" applyFont="1">
      <alignment horizontal="center" vertical="bottom"/>
    </xf>
    <xf borderId="34" fillId="12" fontId="18" numFmtId="0" xfId="0" applyAlignment="1" applyBorder="1" applyFill="1" applyFont="1">
      <alignment horizontal="center" vertical="bottom"/>
    </xf>
    <xf borderId="0" fillId="0" fontId="1" numFmtId="0" xfId="0" applyAlignment="1" applyFont="1">
      <alignment horizontal="center" vertical="top"/>
    </xf>
    <xf borderId="34" fillId="0" fontId="1" numFmtId="0" xfId="0" applyBorder="1" applyFont="1"/>
    <xf borderId="36" fillId="6" fontId="1" numFmtId="0" xfId="0" applyAlignment="1" applyBorder="1" applyFill="1" applyFont="1">
      <alignment horizontal="center" vertical="bottom"/>
    </xf>
    <xf borderId="30" fillId="0" fontId="1" numFmtId="0" xfId="0" applyAlignment="1" applyBorder="1" applyFont="1">
      <alignment horizontal="center" readingOrder="0" vertical="bottom"/>
    </xf>
    <xf borderId="48" fillId="0" fontId="1" numFmtId="0" xfId="0" applyAlignment="1" applyBorder="1" applyFont="1">
      <alignment vertical="bottom"/>
    </xf>
    <xf borderId="23" fillId="10" fontId="1" numFmtId="0" xfId="0" applyAlignment="1" applyBorder="1" applyFill="1" applyFont="1">
      <alignment horizontal="center" vertical="bottom"/>
    </xf>
    <xf borderId="37" fillId="27" fontId="1" numFmtId="0" xfId="0" applyAlignment="1" applyBorder="1" applyFill="1" applyFont="1">
      <alignment horizontal="center" vertical="bottom"/>
    </xf>
    <xf borderId="37" fillId="12" fontId="18" numFmtId="0" xfId="0" applyAlignment="1" applyBorder="1" applyFill="1" applyFont="1">
      <alignment horizontal="center" vertical="bottom"/>
    </xf>
    <xf borderId="36" fillId="8" fontId="1" numFmtId="0" xfId="0" applyAlignment="1" applyBorder="1" applyFill="1" applyFont="1">
      <alignment horizontal="center" vertical="bottom"/>
    </xf>
    <xf borderId="36" fillId="12" fontId="1" numFmtId="0" xfId="0" applyAlignment="1" applyBorder="1" applyFill="1" applyFont="1">
      <alignment horizontal="center" vertical="bottom"/>
    </xf>
    <xf borderId="36" fillId="16" fontId="1" numFmtId="0" xfId="0" applyAlignment="1" applyBorder="1" applyFill="1" applyFont="1">
      <alignment horizontal="center" vertical="bottom"/>
    </xf>
    <xf borderId="36" fillId="17" fontId="1" numFmtId="0" xfId="0" applyAlignment="1" applyBorder="1" applyFill="1" applyFont="1">
      <alignment horizontal="center" vertical="bottom"/>
    </xf>
    <xf borderId="35" fillId="19" fontId="1" numFmtId="164" xfId="0" applyAlignment="1" applyBorder="1" applyFill="1" applyFont="1" applyNumberFormat="1">
      <alignment horizontal="center"/>
    </xf>
    <xf borderId="30" fillId="19" fontId="1" numFmtId="166" xfId="0" applyAlignment="1" applyBorder="1" applyFill="1" applyFont="1" applyNumberFormat="1">
      <alignment horizontal="center" vertical="bottom"/>
    </xf>
    <xf borderId="30" fillId="19" fontId="1" numFmtId="0" xfId="0" applyAlignment="1" applyBorder="1" applyFill="1" applyFont="1">
      <alignment readingOrder="0" vertical="bottom"/>
    </xf>
    <xf borderId="34" fillId="0" fontId="1" numFmtId="0" xfId="0" applyAlignment="1" applyBorder="1" applyFont="1">
      <alignment horizontal="center" readingOrder="0" vertical="center"/>
    </xf>
    <xf borderId="30" fillId="12" fontId="1" numFmtId="0" xfId="0" applyAlignment="1" applyBorder="1" applyFill="1" applyFont="1">
      <alignment horizontal="left" readingOrder="0" vertical="bottom"/>
    </xf>
    <xf borderId="30" fillId="17" fontId="19" numFmtId="0" xfId="0" applyAlignment="1" applyBorder="1" applyFill="1" applyFont="1">
      <alignment readingOrder="0" vertical="bottom"/>
    </xf>
    <xf borderId="37" fillId="12" fontId="18" numFmtId="0" xfId="0" applyAlignment="1" applyBorder="1" applyFill="1" applyFont="1">
      <alignment horizontal="center" readingOrder="0" vertical="bottom"/>
    </xf>
    <xf borderId="31" fillId="4" fontId="1" numFmtId="164" xfId="0" applyAlignment="1" applyBorder="1" applyFill="1" applyFont="1" applyNumberFormat="1">
      <alignment horizontal="center" vertical="center"/>
    </xf>
    <xf borderId="33" fillId="4" fontId="1" numFmtId="166" xfId="0" applyAlignment="1" applyBorder="1" applyFill="1" applyFont="1" applyNumberFormat="1">
      <alignment horizontal="center" vertical="center"/>
    </xf>
    <xf borderId="33" fillId="4" fontId="1" numFmtId="0" xfId="0" applyAlignment="1" applyBorder="1" applyFill="1" applyFont="1">
      <alignment readingOrder="0" vertical="center"/>
    </xf>
    <xf borderId="31" fillId="10" fontId="1" numFmtId="0" xfId="0" applyAlignment="1" applyBorder="1" applyFill="1" applyFont="1">
      <alignment horizontal="center" readingOrder="0" vertical="center"/>
    </xf>
    <xf borderId="33" fillId="10" fontId="1" numFmtId="0" xfId="0" applyAlignment="1" applyBorder="1" applyFill="1" applyFont="1">
      <alignment horizontal="center" readingOrder="0" vertical="center"/>
    </xf>
    <xf borderId="33" fillId="0" fontId="1" numFmtId="0" xfId="0" applyAlignment="1" applyBorder="1" applyFont="1">
      <alignment horizontal="center" readingOrder="0" vertical="center"/>
    </xf>
    <xf borderId="47" fillId="0" fontId="1" numFmtId="0" xfId="0" applyAlignment="1" applyBorder="1" applyFont="1">
      <alignment vertical="center"/>
    </xf>
    <xf borderId="19" fillId="10" fontId="1" numFmtId="0" xfId="0" applyAlignment="1" applyBorder="1" applyFill="1" applyFont="1">
      <alignment horizontal="center" vertical="center"/>
    </xf>
    <xf borderId="34" fillId="27" fontId="1" numFmtId="0" xfId="0" applyAlignment="1" applyBorder="1" applyFill="1" applyFont="1">
      <alignment horizontal="center" vertical="center"/>
    </xf>
    <xf borderId="34" fillId="12" fontId="18" numFmtId="0" xfId="0" applyAlignment="1" applyBorder="1" applyFill="1" applyFont="1">
      <alignment horizontal="center" vertical="center"/>
    </xf>
    <xf borderId="0" fillId="0" fontId="1" numFmtId="0" xfId="0" applyAlignment="1" applyFont="1">
      <alignment horizontal="center" vertical="center"/>
    </xf>
    <xf borderId="35" fillId="6" fontId="1" numFmtId="164" xfId="0" applyAlignment="1" applyBorder="1" applyFill="1" applyFont="1" applyNumberFormat="1">
      <alignment horizontal="center" vertical="center"/>
    </xf>
    <xf borderId="30" fillId="6" fontId="1" numFmtId="166" xfId="0" applyAlignment="1" applyBorder="1" applyFill="1" applyFont="1" applyNumberFormat="1">
      <alignment horizontal="center" vertical="center"/>
    </xf>
    <xf borderId="30" fillId="6" fontId="1" numFmtId="0" xfId="0" applyAlignment="1" applyBorder="1" applyFill="1" applyFont="1">
      <alignment readingOrder="0" vertical="center"/>
    </xf>
    <xf borderId="35" fillId="10" fontId="1" numFmtId="0" xfId="0" applyAlignment="1" applyBorder="1" applyFill="1" applyFont="1">
      <alignment horizontal="center" readingOrder="0" vertical="center"/>
    </xf>
    <xf borderId="30" fillId="10" fontId="1" numFmtId="0" xfId="0" applyAlignment="1" applyBorder="1" applyFill="1" applyFont="1">
      <alignment horizontal="center" readingOrder="0" vertical="center"/>
    </xf>
    <xf borderId="30" fillId="0" fontId="1" numFmtId="0" xfId="0" applyAlignment="1" applyBorder="1" applyFont="1">
      <alignment horizontal="center" readingOrder="0" vertical="center"/>
    </xf>
    <xf borderId="48" fillId="0" fontId="1" numFmtId="0" xfId="0" applyAlignment="1" applyBorder="1" applyFont="1">
      <alignment vertical="center"/>
    </xf>
    <xf borderId="23" fillId="10" fontId="1" numFmtId="0" xfId="0" applyAlignment="1" applyBorder="1" applyFill="1" applyFont="1">
      <alignment horizontal="center" vertical="center"/>
    </xf>
    <xf borderId="37" fillId="27" fontId="1" numFmtId="0" xfId="0" applyAlignment="1" applyBorder="1" applyFill="1" applyFont="1">
      <alignment horizontal="center" vertical="center"/>
    </xf>
    <xf borderId="37" fillId="12" fontId="18" numFmtId="0" xfId="0" applyAlignment="1" applyBorder="1" applyFill="1" applyFont="1">
      <alignment horizontal="center" vertical="center"/>
    </xf>
    <xf borderId="35" fillId="8" fontId="1" numFmtId="164" xfId="0" applyAlignment="1" applyBorder="1" applyFill="1" applyFont="1" applyNumberFormat="1">
      <alignment horizontal="center" vertical="center"/>
    </xf>
    <xf borderId="30" fillId="8" fontId="1" numFmtId="166" xfId="0" applyAlignment="1" applyBorder="1" applyFill="1" applyFont="1" applyNumberFormat="1">
      <alignment horizontal="center" vertical="center"/>
    </xf>
    <xf borderId="30" fillId="8" fontId="1" numFmtId="0" xfId="0" applyAlignment="1" applyBorder="1" applyFill="1" applyFont="1">
      <alignment readingOrder="0" vertical="center"/>
    </xf>
    <xf borderId="35" fillId="12" fontId="1" numFmtId="164" xfId="0" applyAlignment="1" applyBorder="1" applyFill="1" applyFont="1" applyNumberFormat="1">
      <alignment horizontal="center" vertical="center"/>
    </xf>
    <xf borderId="30" fillId="12" fontId="1" numFmtId="166" xfId="0" applyAlignment="1" applyBorder="1" applyFill="1" applyFont="1" applyNumberFormat="1">
      <alignment horizontal="center" vertical="center"/>
    </xf>
    <xf borderId="30" fillId="12" fontId="1" numFmtId="0" xfId="0" applyAlignment="1" applyBorder="1" applyFill="1" applyFont="1">
      <alignment readingOrder="0" vertical="center"/>
    </xf>
    <xf borderId="35" fillId="16" fontId="1" numFmtId="164" xfId="0" applyAlignment="1" applyBorder="1" applyFill="1" applyFont="1" applyNumberFormat="1">
      <alignment horizontal="center" vertical="center"/>
    </xf>
    <xf borderId="30" fillId="16" fontId="1" numFmtId="166" xfId="0" applyAlignment="1" applyBorder="1" applyFill="1" applyFont="1" applyNumberFormat="1">
      <alignment horizontal="center" vertical="center"/>
    </xf>
    <xf borderId="30" fillId="16" fontId="1" numFmtId="0" xfId="0" applyAlignment="1" applyBorder="1" applyFill="1" applyFont="1">
      <alignment readingOrder="0" vertical="center"/>
    </xf>
    <xf borderId="35" fillId="17" fontId="1" numFmtId="164" xfId="0" applyAlignment="1" applyBorder="1" applyFill="1" applyFont="1" applyNumberFormat="1">
      <alignment horizontal="center" vertical="center"/>
    </xf>
    <xf borderId="30" fillId="17" fontId="1" numFmtId="166" xfId="0" applyAlignment="1" applyBorder="1" applyFill="1" applyFont="1" applyNumberFormat="1">
      <alignment horizontal="center" vertical="center"/>
    </xf>
    <xf borderId="30" fillId="17" fontId="1" numFmtId="0" xfId="0" applyAlignment="1" applyBorder="1" applyFill="1" applyFont="1">
      <alignment readingOrder="0" vertical="center"/>
    </xf>
    <xf borderId="30" fillId="17" fontId="20" numFmtId="0" xfId="0" applyAlignment="1" applyBorder="1" applyFill="1" applyFont="1">
      <alignment readingOrder="0" vertical="center"/>
    </xf>
    <xf borderId="35" fillId="19" fontId="1" numFmtId="164" xfId="0" applyAlignment="1" applyBorder="1" applyFill="1" applyFont="1" applyNumberFormat="1">
      <alignment horizontal="center" vertical="center"/>
    </xf>
    <xf borderId="30" fillId="19" fontId="1" numFmtId="166" xfId="0" applyAlignment="1" applyBorder="1" applyFill="1" applyFont="1" applyNumberFormat="1">
      <alignment horizontal="center" vertical="center"/>
    </xf>
    <xf borderId="30" fillId="19" fontId="1" numFmtId="0" xfId="0" applyAlignment="1" applyBorder="1" applyFill="1" applyFont="1">
      <alignment readingOrder="0" vertical="center"/>
    </xf>
    <xf borderId="34" fillId="0" fontId="1" numFmtId="0" xfId="0" applyAlignment="1" applyBorder="1" applyFont="1">
      <alignment vertical="center"/>
    </xf>
    <xf borderId="37" fillId="27" fontId="1" numFmtId="0" xfId="0" applyAlignment="1" applyBorder="1" applyFill="1" applyFont="1">
      <alignment horizontal="center" readingOrder="0" vertical="center"/>
    </xf>
    <xf borderId="33" fillId="4" fontId="1" numFmtId="166" xfId="0" applyAlignment="1" applyBorder="1" applyFill="1" applyFont="1" applyNumberFormat="1">
      <alignment horizontal="center"/>
    </xf>
    <xf borderId="33" fillId="4" fontId="1" numFmtId="0" xfId="0" applyAlignment="1" applyBorder="1" applyFill="1" applyFont="1">
      <alignment readingOrder="0"/>
    </xf>
    <xf borderId="31" fillId="10" fontId="1" numFmtId="0" xfId="0" applyAlignment="1" applyBorder="1" applyFill="1" applyFont="1">
      <alignment horizontal="center" readingOrder="0"/>
    </xf>
    <xf borderId="33" fillId="10" fontId="1" numFmtId="0" xfId="0" applyAlignment="1" applyBorder="1" applyFill="1" applyFont="1">
      <alignment horizontal="center" readingOrder="0"/>
    </xf>
    <xf borderId="47" fillId="0" fontId="1" numFmtId="0" xfId="0" applyBorder="1" applyFont="1"/>
    <xf borderId="19" fillId="10" fontId="1" numFmtId="0" xfId="0" applyAlignment="1" applyBorder="1" applyFill="1" applyFont="1">
      <alignment horizontal="center"/>
    </xf>
    <xf borderId="34" fillId="27" fontId="1" numFmtId="0" xfId="0" applyAlignment="1" applyBorder="1" applyFill="1" applyFont="1">
      <alignment horizontal="center"/>
    </xf>
    <xf borderId="34" fillId="12" fontId="18" numFmtId="0" xfId="0" applyAlignment="1" applyBorder="1" applyFill="1" applyFont="1">
      <alignment horizontal="center"/>
    </xf>
    <xf borderId="0" fillId="0" fontId="1" numFmtId="0" xfId="0" applyAlignment="1" applyFont="1">
      <alignment horizontal="center"/>
    </xf>
    <xf borderId="30" fillId="6" fontId="1" numFmtId="166" xfId="0" applyAlignment="1" applyBorder="1" applyFill="1" applyFont="1" applyNumberFormat="1">
      <alignment horizontal="center"/>
    </xf>
    <xf borderId="30" fillId="6" fontId="1" numFmtId="0" xfId="0" applyAlignment="1" applyBorder="1" applyFill="1" applyFont="1">
      <alignment readingOrder="0"/>
    </xf>
    <xf borderId="35" fillId="10" fontId="1" numFmtId="0" xfId="0" applyAlignment="1" applyBorder="1" applyFill="1" applyFont="1">
      <alignment horizontal="center" readingOrder="0"/>
    </xf>
    <xf borderId="30" fillId="10" fontId="1" numFmtId="0" xfId="0" applyAlignment="1" applyBorder="1" applyFill="1" applyFont="1">
      <alignment horizontal="center" readingOrder="0"/>
    </xf>
    <xf borderId="48" fillId="0" fontId="1" numFmtId="0" xfId="0" applyBorder="1" applyFont="1"/>
    <xf borderId="23" fillId="10" fontId="1" numFmtId="0" xfId="0" applyAlignment="1" applyBorder="1" applyFill="1" applyFont="1">
      <alignment horizontal="center"/>
    </xf>
    <xf borderId="37" fillId="27" fontId="1" numFmtId="0" xfId="0" applyAlignment="1" applyBorder="1" applyFill="1" applyFont="1">
      <alignment horizontal="center"/>
    </xf>
    <xf borderId="37" fillId="12" fontId="18" numFmtId="0" xfId="0" applyAlignment="1" applyBorder="1" applyFill="1" applyFont="1">
      <alignment horizontal="center"/>
    </xf>
    <xf borderId="30" fillId="8" fontId="1" numFmtId="166" xfId="0" applyAlignment="1" applyBorder="1" applyFill="1" applyFont="1" applyNumberFormat="1">
      <alignment horizontal="center"/>
    </xf>
    <xf borderId="30" fillId="8" fontId="1" numFmtId="0" xfId="0" applyAlignment="1" applyBorder="1" applyFill="1" applyFont="1">
      <alignment readingOrder="0"/>
    </xf>
    <xf borderId="30" fillId="12" fontId="1" numFmtId="166" xfId="0" applyAlignment="1" applyBorder="1" applyFill="1" applyFont="1" applyNumberFormat="1">
      <alignment horizontal="center"/>
    </xf>
    <xf borderId="30" fillId="12" fontId="1" numFmtId="0" xfId="0" applyAlignment="1" applyBorder="1" applyFill="1" applyFont="1">
      <alignment readingOrder="0"/>
    </xf>
    <xf borderId="30" fillId="16" fontId="1" numFmtId="166" xfId="0" applyAlignment="1" applyBorder="1" applyFill="1" applyFont="1" applyNumberFormat="1">
      <alignment horizontal="center"/>
    </xf>
    <xf borderId="30" fillId="16" fontId="1" numFmtId="0" xfId="0" applyAlignment="1" applyBorder="1" applyFill="1" applyFont="1">
      <alignment readingOrder="0"/>
    </xf>
    <xf borderId="30" fillId="17" fontId="1" numFmtId="166" xfId="0" applyAlignment="1" applyBorder="1" applyFill="1" applyFont="1" applyNumberFormat="1">
      <alignment horizontal="center"/>
    </xf>
    <xf borderId="30" fillId="17" fontId="1" numFmtId="0" xfId="0" applyAlignment="1" applyBorder="1" applyFill="1" applyFont="1">
      <alignment readingOrder="0"/>
    </xf>
    <xf borderId="30" fillId="19" fontId="1" numFmtId="166" xfId="0" applyAlignment="1" applyBorder="1" applyFill="1" applyFont="1" applyNumberFormat="1">
      <alignment horizontal="center"/>
    </xf>
    <xf borderId="30" fillId="19" fontId="1" numFmtId="0" xfId="0" applyAlignment="1" applyBorder="1" applyFill="1" applyFont="1">
      <alignment readingOrder="0"/>
    </xf>
    <xf borderId="47" fillId="0" fontId="1" numFmtId="0" xfId="0" applyAlignment="1" applyBorder="1" applyFont="1">
      <alignment horizontal="center"/>
    </xf>
    <xf borderId="34" fillId="0" fontId="1" numFmtId="0" xfId="0" applyAlignment="1" applyBorder="1" applyFont="1">
      <alignment horizontal="center"/>
    </xf>
    <xf borderId="48" fillId="0" fontId="1" numFmtId="0" xfId="0" applyAlignment="1" applyBorder="1" applyFont="1">
      <alignment horizontal="center"/>
    </xf>
    <xf borderId="33" fillId="3" fontId="1" numFmtId="0" xfId="0" applyAlignment="1" applyBorder="1" applyFill="1" applyFont="1">
      <alignment horizontal="center"/>
    </xf>
    <xf borderId="30" fillId="3" fontId="1" numFmtId="0" xfId="0" applyAlignment="1" applyBorder="1" applyFill="1" applyFont="1">
      <alignment horizontal="center"/>
    </xf>
    <xf borderId="31" fillId="4" fontId="1" numFmtId="164" xfId="0" applyAlignment="1" applyBorder="1" applyFill="1" applyFont="1" applyNumberFormat="1">
      <alignment horizontal="center" vertical="bottom"/>
    </xf>
    <xf borderId="33" fillId="3" fontId="1" numFmtId="0" xfId="0" applyAlignment="1" applyBorder="1" applyFill="1" applyFont="1">
      <alignment horizontal="center" vertical="bottom"/>
    </xf>
    <xf borderId="0" fillId="0" fontId="1" numFmtId="0" xfId="0" applyAlignment="1" applyFont="1">
      <alignment horizontal="center" vertical="bottom"/>
    </xf>
    <xf borderId="35" fillId="6" fontId="1" numFmtId="164" xfId="0" applyAlignment="1" applyBorder="1" applyFill="1" applyFont="1" applyNumberFormat="1">
      <alignment horizontal="center" vertical="bottom"/>
    </xf>
    <xf borderId="30" fillId="3" fontId="1" numFmtId="0" xfId="0" applyAlignment="1" applyBorder="1" applyFill="1" applyFont="1">
      <alignment horizontal="center" vertical="bottom"/>
    </xf>
    <xf borderId="35" fillId="8" fontId="1" numFmtId="164" xfId="0" applyAlignment="1" applyBorder="1" applyFill="1" applyFont="1" applyNumberFormat="1">
      <alignment horizontal="center" vertical="bottom"/>
    </xf>
    <xf borderId="35" fillId="12" fontId="1" numFmtId="164" xfId="0" applyAlignment="1" applyBorder="1" applyFill="1" applyFont="1" applyNumberFormat="1">
      <alignment horizontal="center" vertical="bottom"/>
    </xf>
    <xf borderId="30" fillId="3" fontId="1" numFmtId="0" xfId="0" applyAlignment="1" applyBorder="1" applyFill="1" applyFont="1">
      <alignment vertical="bottom"/>
    </xf>
    <xf borderId="35" fillId="0" fontId="1" numFmtId="0" xfId="0" applyAlignment="1" applyBorder="1" applyFont="1">
      <alignment horizontal="center" vertical="bottom"/>
    </xf>
    <xf borderId="30" fillId="0" fontId="1" numFmtId="0" xfId="0" applyAlignment="1" applyBorder="1" applyFont="1">
      <alignment horizontal="center" vertical="bottom"/>
    </xf>
    <xf borderId="35" fillId="16" fontId="1" numFmtId="164" xfId="0" applyAlignment="1" applyBorder="1" applyFill="1" applyFont="1" applyNumberFormat="1">
      <alignment horizontal="center" vertical="bottom"/>
    </xf>
    <xf borderId="35" fillId="17" fontId="1" numFmtId="164" xfId="0" applyAlignment="1" applyBorder="1" applyFill="1" applyFont="1" applyNumberFormat="1">
      <alignment horizontal="center" vertical="bottom"/>
    </xf>
    <xf borderId="35" fillId="19" fontId="1" numFmtId="164" xfId="0" applyAlignment="1" applyBorder="1" applyFill="1" applyFont="1" applyNumberFormat="1">
      <alignment horizontal="center" vertical="bottom"/>
    </xf>
    <xf borderId="30" fillId="19" fontId="1" numFmtId="0" xfId="0" applyAlignment="1" applyBorder="1" applyFill="1" applyFont="1">
      <alignment vertical="bottom"/>
    </xf>
    <xf borderId="35" fillId="10" fontId="1" numFmtId="0" xfId="0" applyAlignment="1" applyBorder="1" applyFill="1" applyFont="1">
      <alignment horizontal="center" vertical="bottom"/>
    </xf>
    <xf borderId="30" fillId="10" fontId="1" numFmtId="0" xfId="0" applyAlignment="1" applyBorder="1" applyFill="1" applyFont="1">
      <alignment horizontal="center" vertical="bottom"/>
    </xf>
    <xf borderId="34" fillId="0" fontId="1" numFmtId="0" xfId="0" applyAlignment="1" applyBorder="1" applyFont="1">
      <alignment vertical="bottom"/>
    </xf>
    <xf borderId="30" fillId="12" fontId="1" numFmtId="0" xfId="0" applyAlignment="1" applyBorder="1" applyFill="1" applyFont="1">
      <alignment vertical="bottom"/>
    </xf>
    <xf borderId="33" fillId="4" fontId="1" numFmtId="0" xfId="0" applyAlignment="1" applyBorder="1" applyFill="1" applyFont="1">
      <alignment horizontal="left" readingOrder="0" vertical="bottom"/>
    </xf>
    <xf borderId="0" fillId="0" fontId="21" numFmtId="0" xfId="0" applyAlignment="1" applyFont="1">
      <alignment readingOrder="0"/>
    </xf>
    <xf borderId="0" fillId="0" fontId="22" numFmtId="0" xfId="0" applyAlignment="1" applyFont="1">
      <alignment readingOrder="0"/>
    </xf>
    <xf borderId="30" fillId="0" fontId="1" numFmtId="0" xfId="0" applyAlignment="1" applyBorder="1" applyFont="1">
      <alignment horizontal="left" readingOrder="0"/>
    </xf>
    <xf borderId="34" fillId="0" fontId="1" numFmtId="0" xfId="0" applyAlignment="1" applyBorder="1" applyFont="1">
      <alignment horizontal="center" readingOrder="0" shrinkToFit="0" vertical="center" wrapText="1"/>
    </xf>
    <xf borderId="35" fillId="3" fontId="1" numFmtId="0" xfId="0" applyAlignment="1" applyBorder="1" applyFill="1" applyFont="1">
      <alignment horizontal="center" vertical="bottom"/>
    </xf>
    <xf borderId="30" fillId="3" fontId="1" numFmtId="0" xfId="0" applyAlignment="1" applyBorder="1" applyFill="1" applyFont="1">
      <alignment horizontal="center" readingOrder="0" vertical="bottom"/>
    </xf>
    <xf borderId="34" fillId="27" fontId="1" numFmtId="0" xfId="0" applyAlignment="1" applyBorder="1" applyFill="1" applyFont="1">
      <alignment horizontal="center" readingOrder="0" vertical="bottom"/>
    </xf>
    <xf borderId="0" fillId="3" fontId="1" numFmtId="0" xfId="0" applyAlignment="1" applyFill="1" applyFont="1">
      <alignment horizontal="center" vertical="bottom"/>
    </xf>
    <xf borderId="58" fillId="3" fontId="23" numFmtId="0" xfId="0" applyAlignment="1" applyBorder="1" applyFill="1" applyFont="1">
      <alignment horizontal="center" readingOrder="0" vertical="bottom"/>
    </xf>
    <xf borderId="1" fillId="0" fontId="1" numFmtId="0" xfId="0" applyAlignment="1" applyBorder="1" applyFont="1">
      <alignment readingOrder="0" vertical="center"/>
    </xf>
    <xf borderId="30" fillId="19" fontId="1" numFmtId="0" xfId="0" applyAlignment="1" applyBorder="1" applyFill="1" applyFont="1">
      <alignment horizontal="left" readingOrder="0" vertical="bottom"/>
    </xf>
    <xf borderId="59" fillId="4" fontId="1" numFmtId="0" xfId="0" applyAlignment="1" applyBorder="1" applyFill="1" applyFont="1">
      <alignment horizontal="center" vertical="bottom"/>
    </xf>
    <xf borderId="60" fillId="6" fontId="1" numFmtId="0" xfId="0" applyAlignment="1" applyBorder="1" applyFill="1" applyFont="1">
      <alignment horizontal="center" vertical="bottom"/>
    </xf>
    <xf borderId="60" fillId="8" fontId="1" numFmtId="0" xfId="0" applyAlignment="1" applyBorder="1" applyFill="1" applyFont="1">
      <alignment horizontal="center" vertical="bottom"/>
    </xf>
    <xf borderId="60" fillId="12" fontId="1" numFmtId="0" xfId="0" applyAlignment="1" applyBorder="1" applyFill="1" applyFont="1">
      <alignment horizontal="center" vertical="bottom"/>
    </xf>
    <xf borderId="60" fillId="16" fontId="1" numFmtId="0" xfId="0" applyAlignment="1" applyBorder="1" applyFill="1" applyFont="1">
      <alignment horizontal="center" vertical="bottom"/>
    </xf>
    <xf borderId="60" fillId="17" fontId="1" numFmtId="0" xfId="0" applyAlignment="1" applyBorder="1" applyFill="1" applyFont="1">
      <alignment horizontal="center" vertical="bottom"/>
    </xf>
    <xf borderId="60" fillId="0" fontId="2" numFmtId="0" xfId="0" applyAlignment="1" applyBorder="1" applyFont="1">
      <alignment horizontal="center" readingOrder="0"/>
    </xf>
    <xf borderId="8" fillId="19" fontId="1" numFmtId="164" xfId="0" applyAlignment="1" applyBorder="1" applyFill="1" applyFont="1" applyNumberFormat="1">
      <alignment horizontal="center" vertical="bottom"/>
    </xf>
    <xf borderId="0" fillId="19" fontId="1" numFmtId="166" xfId="0" applyAlignment="1" applyFill="1" applyFont="1" applyNumberFormat="1">
      <alignment horizontal="center" vertical="bottom"/>
    </xf>
    <xf borderId="0" fillId="19" fontId="1" numFmtId="0" xfId="0" applyAlignment="1" applyFill="1" applyFont="1">
      <alignment readingOrder="0" vertical="bottom"/>
    </xf>
    <xf borderId="1" fillId="21" fontId="24" numFmtId="0" xfId="0" applyAlignment="1" applyBorder="1" applyFill="1" applyFont="1">
      <alignment horizontal="center" readingOrder="0" vertical="center"/>
    </xf>
    <xf borderId="3" fillId="21" fontId="24" numFmtId="0" xfId="0" applyAlignment="1" applyBorder="1" applyFill="1" applyFont="1">
      <alignment horizontal="center" readingOrder="0" vertical="center"/>
    </xf>
    <xf borderId="35" fillId="4" fontId="1" numFmtId="164" xfId="0" applyAlignment="1" applyBorder="1" applyFill="1" applyFont="1" applyNumberFormat="1">
      <alignment horizontal="center" vertical="bottom"/>
    </xf>
    <xf borderId="36" fillId="4" fontId="1" numFmtId="0" xfId="0" applyAlignment="1" applyBorder="1" applyFill="1" applyFont="1">
      <alignment horizontal="center" vertical="bottom"/>
    </xf>
    <xf borderId="30" fillId="4" fontId="1" numFmtId="166" xfId="0" applyAlignment="1" applyBorder="1" applyFill="1" applyFont="1" applyNumberFormat="1">
      <alignment horizontal="center" vertical="bottom"/>
    </xf>
    <xf borderId="30" fillId="4" fontId="1" numFmtId="0" xfId="0" applyAlignment="1" applyBorder="1" applyFill="1" applyFont="1">
      <alignment readingOrder="0" vertical="bottom"/>
    </xf>
    <xf borderId="22" fillId="19" fontId="1" numFmtId="164" xfId="0" applyAlignment="1" applyBorder="1" applyFill="1" applyFont="1" applyNumberFormat="1">
      <alignment horizontal="center" vertical="bottom"/>
    </xf>
    <xf borderId="24" fillId="0" fontId="2" numFmtId="0" xfId="0" applyAlignment="1" applyBorder="1" applyFont="1">
      <alignment horizontal="center" readingOrder="0"/>
    </xf>
    <xf borderId="24" fillId="19" fontId="1" numFmtId="166" xfId="0" applyAlignment="1" applyBorder="1" applyFill="1" applyFont="1" applyNumberFormat="1">
      <alignment horizontal="center" vertical="bottom"/>
    </xf>
    <xf borderId="24" fillId="19" fontId="1" numFmtId="0" xfId="0" applyAlignment="1" applyBorder="1" applyFill="1" applyFont="1">
      <alignment readingOrder="0" vertical="bottom"/>
    </xf>
    <xf borderId="8" fillId="10" fontId="1" numFmtId="0" xfId="0" applyAlignment="1" applyBorder="1" applyFill="1" applyFont="1">
      <alignment horizontal="center" readingOrder="0" vertical="bottom"/>
    </xf>
    <xf borderId="0" fillId="10" fontId="1" numFmtId="0" xfId="0" applyAlignment="1" applyFill="1" applyFont="1">
      <alignment horizontal="center" readingOrder="0" vertical="bottom"/>
    </xf>
    <xf borderId="0" fillId="0" fontId="1" numFmtId="0" xfId="0" applyAlignment="1" applyFont="1">
      <alignment horizontal="center" readingOrder="0" vertical="bottom"/>
    </xf>
    <xf borderId="11" fillId="0" fontId="1" numFmtId="0" xfId="0" applyAlignment="1" applyBorder="1" applyFont="1">
      <alignment vertical="bottom"/>
    </xf>
    <xf borderId="38" fillId="10" fontId="1" numFmtId="0" xfId="0" applyAlignment="1" applyBorder="1" applyFill="1" applyFont="1">
      <alignment horizontal="center" vertical="bottom"/>
    </xf>
    <xf borderId="3" fillId="0" fontId="1" numFmtId="164" xfId="0" applyAlignment="1" applyBorder="1" applyFont="1" applyNumberFormat="1">
      <alignment horizontal="center" readingOrder="0" vertical="center"/>
    </xf>
    <xf borderId="3" fillId="0" fontId="1" numFmtId="0" xfId="0" applyAlignment="1" applyBorder="1" applyFont="1">
      <alignment vertical="center"/>
    </xf>
    <xf borderId="3" fillId="0" fontId="1" numFmtId="0" xfId="0" applyAlignment="1" applyBorder="1" applyFont="1">
      <alignment horizontal="center" vertical="center"/>
    </xf>
    <xf borderId="3" fillId="0" fontId="1" numFmtId="164" xfId="0" applyAlignment="1" applyBorder="1" applyFont="1" applyNumberFormat="1">
      <alignment horizontal="center" vertical="bottom"/>
    </xf>
    <xf borderId="3" fillId="0" fontId="1" numFmtId="0" xfId="0" applyAlignment="1" applyBorder="1" applyFont="1">
      <alignment horizontal="center" vertical="bottom"/>
    </xf>
    <xf borderId="3" fillId="0" fontId="1" numFmtId="166" xfId="0" applyAlignment="1" applyBorder="1" applyFont="1" applyNumberFormat="1">
      <alignment horizontal="center" vertical="bottom"/>
    </xf>
    <xf borderId="3" fillId="0" fontId="1" numFmtId="0" xfId="0" applyAlignment="1" applyBorder="1" applyFont="1">
      <alignment readingOrder="0" vertical="bottom"/>
    </xf>
    <xf borderId="3" fillId="0" fontId="1" numFmtId="0" xfId="0" applyAlignment="1" applyBorder="1" applyFont="1">
      <alignment horizontal="center" readingOrder="0" vertical="bottom"/>
    </xf>
    <xf borderId="3" fillId="0" fontId="1" numFmtId="0" xfId="0" applyAlignment="1" applyBorder="1" applyFont="1">
      <alignment vertical="bottom"/>
    </xf>
    <xf borderId="3" fillId="0" fontId="18" numFmtId="0" xfId="0" applyAlignment="1" applyBorder="1" applyFont="1">
      <alignment horizontal="center" vertical="bottom"/>
    </xf>
    <xf borderId="3" fillId="0" fontId="10" numFmtId="0" xfId="0" applyAlignment="1" applyBorder="1" applyFont="1">
      <alignment horizontal="center" readingOrder="0" shrinkToFit="0" vertical="center" wrapText="1"/>
    </xf>
    <xf borderId="0" fillId="0" fontId="1" numFmtId="164" xfId="0" applyAlignment="1" applyFont="1" applyNumberFormat="1">
      <alignment horizontal="center" vertical="bottom"/>
    </xf>
    <xf borderId="0" fillId="0" fontId="1" numFmtId="166" xfId="0" applyAlignment="1" applyFont="1" applyNumberFormat="1">
      <alignment horizontal="center" vertical="bottom"/>
    </xf>
    <xf borderId="0" fillId="0" fontId="1" numFmtId="0" xfId="0" applyAlignment="1" applyFont="1">
      <alignment readingOrder="0" vertical="bottom"/>
    </xf>
    <xf borderId="0" fillId="0" fontId="1" numFmtId="0" xfId="0" applyAlignment="1" applyFont="1">
      <alignment vertical="bottom"/>
    </xf>
    <xf borderId="0" fillId="0" fontId="18" numFmtId="0" xfId="0" applyAlignment="1" applyFont="1">
      <alignment horizontal="center" vertical="bottom"/>
    </xf>
    <xf borderId="0" fillId="0" fontId="1" numFmtId="164" xfId="0" applyAlignment="1" applyFont="1" applyNumberFormat="1">
      <alignment horizontal="center" readingOrder="0" vertical="center"/>
    </xf>
    <xf borderId="0" fillId="0" fontId="1" numFmtId="0" xfId="0" applyAlignment="1" applyFont="1">
      <alignment vertical="center"/>
    </xf>
    <xf borderId="0" fillId="0" fontId="10" numFmtId="0" xfId="0" applyAlignment="1" applyFont="1">
      <alignment horizontal="center" readingOrder="0" shrinkToFit="0" vertical="center" wrapText="1"/>
    </xf>
  </cellXfs>
  <cellStyles count="1">
    <cellStyle xfId="0" name="Normal" builtinId="0"/>
  </cellStyles>
  <dxfs count="14">
    <dxf>
      <font/>
      <fill>
        <patternFill patternType="none"/>
      </fill>
      <border/>
    </dxf>
    <dxf>
      <font/>
      <fill>
        <patternFill patternType="solid">
          <fgColor rgb="FF9FC5E8"/>
          <bgColor rgb="FF9FC5E8"/>
        </patternFill>
      </fill>
      <border/>
    </dxf>
    <dxf>
      <font/>
      <fill>
        <patternFill patternType="solid">
          <fgColor rgb="FFB4A7D6"/>
          <bgColor rgb="FFB4A7D6"/>
        </patternFill>
      </fill>
      <border/>
    </dxf>
    <dxf>
      <font/>
      <fill>
        <patternFill patternType="solid">
          <fgColor rgb="FFDD7E6B"/>
          <bgColor rgb="FFDD7E6B"/>
        </patternFill>
      </fill>
      <border/>
    </dxf>
    <dxf>
      <font/>
      <fill>
        <patternFill patternType="solid">
          <fgColor rgb="FFFFC7CE"/>
          <bgColor rgb="FFFFC7CE"/>
        </patternFill>
      </fill>
      <border/>
    </dxf>
    <dxf>
      <font/>
      <fill>
        <patternFill patternType="solid">
          <fgColor rgb="FF93C47D"/>
          <bgColor rgb="FF93C47D"/>
        </patternFill>
      </fill>
      <border/>
    </dxf>
    <dxf>
      <font/>
      <fill>
        <patternFill patternType="solid">
          <fgColor rgb="FFFFE599"/>
          <bgColor rgb="FFFFE599"/>
        </patternFill>
      </fill>
      <border/>
    </dxf>
    <dxf>
      <font/>
      <fill>
        <patternFill patternType="solid">
          <fgColor rgb="FFF6B26B"/>
          <bgColor rgb="FFF6B26B"/>
        </patternFill>
      </fill>
      <border/>
    </dxf>
    <dxf>
      <font/>
      <fill>
        <patternFill patternType="solid">
          <fgColor rgb="FF0C0C0C"/>
          <bgColor rgb="FF0C0C0C"/>
        </patternFill>
      </fill>
      <border/>
    </dxf>
    <dxf>
      <font/>
      <fill>
        <patternFill patternType="solid">
          <fgColor rgb="FFB7E1CD"/>
          <bgColor rgb="FFB7E1CD"/>
        </patternFill>
      </fill>
      <border/>
    </dxf>
    <dxf>
      <font/>
      <fill>
        <patternFill patternType="solid">
          <fgColor rgb="FFEA9999"/>
          <bgColor rgb="FFEA9999"/>
        </patternFill>
      </fill>
      <border/>
    </dxf>
    <dxf>
      <font/>
      <fill>
        <patternFill patternType="solid">
          <fgColor rgb="FFA5A5A5"/>
          <bgColor rgb="FFA5A5A5"/>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6.jpg"/></Relationships>
</file>

<file path=xl/drawings/_rels/drawing2.xml.rels><?xml version="1.0" encoding="UTF-8" standalone="yes"?><Relationships xmlns="http://schemas.openxmlformats.org/package/2006/relationships"><Relationship Id="rId40" Type="http://schemas.openxmlformats.org/officeDocument/2006/relationships/image" Target="../media/image39.jpg"/><Relationship Id="rId20" Type="http://schemas.openxmlformats.org/officeDocument/2006/relationships/image" Target="../media/image16.png"/><Relationship Id="rId22" Type="http://schemas.openxmlformats.org/officeDocument/2006/relationships/image" Target="../media/image29.png"/><Relationship Id="rId21" Type="http://schemas.openxmlformats.org/officeDocument/2006/relationships/image" Target="../media/image8.png"/><Relationship Id="rId24" Type="http://schemas.openxmlformats.org/officeDocument/2006/relationships/image" Target="../media/image35.png"/><Relationship Id="rId23" Type="http://schemas.openxmlformats.org/officeDocument/2006/relationships/image" Target="../media/image42.png"/><Relationship Id="rId1" Type="http://schemas.openxmlformats.org/officeDocument/2006/relationships/image" Target="../media/image9.png"/><Relationship Id="rId2" Type="http://schemas.openxmlformats.org/officeDocument/2006/relationships/image" Target="../media/image43.png"/><Relationship Id="rId3" Type="http://schemas.openxmlformats.org/officeDocument/2006/relationships/image" Target="../media/image12.png"/><Relationship Id="rId4" Type="http://schemas.openxmlformats.org/officeDocument/2006/relationships/image" Target="../media/image7.png"/><Relationship Id="rId9" Type="http://schemas.openxmlformats.org/officeDocument/2006/relationships/image" Target="../media/image2.png"/><Relationship Id="rId26" Type="http://schemas.openxmlformats.org/officeDocument/2006/relationships/image" Target="../media/image5.png"/><Relationship Id="rId25" Type="http://schemas.openxmlformats.org/officeDocument/2006/relationships/image" Target="../media/image30.png"/><Relationship Id="rId28" Type="http://schemas.openxmlformats.org/officeDocument/2006/relationships/image" Target="../media/image25.png"/><Relationship Id="rId27" Type="http://schemas.openxmlformats.org/officeDocument/2006/relationships/image" Target="../media/image31.png"/><Relationship Id="rId5" Type="http://schemas.openxmlformats.org/officeDocument/2006/relationships/image" Target="../media/image26.png"/><Relationship Id="rId6" Type="http://schemas.openxmlformats.org/officeDocument/2006/relationships/image" Target="../media/image13.png"/><Relationship Id="rId29" Type="http://schemas.openxmlformats.org/officeDocument/2006/relationships/image" Target="../media/image4.png"/><Relationship Id="rId7" Type="http://schemas.openxmlformats.org/officeDocument/2006/relationships/image" Target="../media/image36.png"/><Relationship Id="rId8" Type="http://schemas.openxmlformats.org/officeDocument/2006/relationships/image" Target="../media/image11.png"/><Relationship Id="rId31" Type="http://schemas.openxmlformats.org/officeDocument/2006/relationships/image" Target="../media/image17.png"/><Relationship Id="rId30" Type="http://schemas.openxmlformats.org/officeDocument/2006/relationships/image" Target="../media/image18.png"/><Relationship Id="rId11" Type="http://schemas.openxmlformats.org/officeDocument/2006/relationships/image" Target="../media/image32.png"/><Relationship Id="rId33" Type="http://schemas.openxmlformats.org/officeDocument/2006/relationships/image" Target="../media/image28.png"/><Relationship Id="rId10" Type="http://schemas.openxmlformats.org/officeDocument/2006/relationships/image" Target="../media/image19.png"/><Relationship Id="rId32" Type="http://schemas.openxmlformats.org/officeDocument/2006/relationships/image" Target="../media/image20.png"/><Relationship Id="rId13" Type="http://schemas.openxmlformats.org/officeDocument/2006/relationships/image" Target="../media/image1.png"/><Relationship Id="rId35" Type="http://schemas.openxmlformats.org/officeDocument/2006/relationships/image" Target="../media/image34.png"/><Relationship Id="rId12" Type="http://schemas.openxmlformats.org/officeDocument/2006/relationships/image" Target="../media/image15.png"/><Relationship Id="rId34" Type="http://schemas.openxmlformats.org/officeDocument/2006/relationships/image" Target="../media/image33.png"/><Relationship Id="rId15" Type="http://schemas.openxmlformats.org/officeDocument/2006/relationships/image" Target="../media/image23.png"/><Relationship Id="rId37" Type="http://schemas.openxmlformats.org/officeDocument/2006/relationships/image" Target="../media/image38.png"/><Relationship Id="rId14" Type="http://schemas.openxmlformats.org/officeDocument/2006/relationships/image" Target="../media/image21.png"/><Relationship Id="rId36" Type="http://schemas.openxmlformats.org/officeDocument/2006/relationships/image" Target="../media/image41.png"/><Relationship Id="rId17" Type="http://schemas.openxmlformats.org/officeDocument/2006/relationships/image" Target="../media/image14.png"/><Relationship Id="rId39" Type="http://schemas.openxmlformats.org/officeDocument/2006/relationships/image" Target="../media/image37.png"/><Relationship Id="rId16" Type="http://schemas.openxmlformats.org/officeDocument/2006/relationships/image" Target="../media/image27.png"/><Relationship Id="rId38" Type="http://schemas.openxmlformats.org/officeDocument/2006/relationships/image" Target="../media/image40.png"/><Relationship Id="rId19" Type="http://schemas.openxmlformats.org/officeDocument/2006/relationships/image" Target="../media/image10.png"/><Relationship Id="rId18" Type="http://schemas.openxmlformats.org/officeDocument/2006/relationships/image" Target="../media/image2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17</xdr:row>
      <xdr:rowOff>0</xdr:rowOff>
    </xdr:from>
    <xdr:ext cx="514350" cy="3905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18</xdr:row>
      <xdr:rowOff>0</xdr:rowOff>
    </xdr:from>
    <xdr:ext cx="342900" cy="6096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459</xdr:row>
      <xdr:rowOff>47625</xdr:rowOff>
    </xdr:from>
    <xdr:ext cx="1152525" cy="1247775"/>
    <xdr:grpSp>
      <xdr:nvGrpSpPr>
        <xdr:cNvPr id="2" name="Shape 2" title="Drawing"/>
        <xdr:cNvGrpSpPr/>
      </xdr:nvGrpSpPr>
      <xdr:grpSpPr>
        <a:xfrm>
          <a:off x="2761075" y="639624"/>
          <a:ext cx="1857748" cy="2273701"/>
          <a:chOff x="2761075" y="639624"/>
          <a:chExt cx="1857748" cy="2273701"/>
        </a:xfrm>
      </xdr:grpSpPr>
      <xdr:sp>
        <xdr:nvSpPr>
          <xdr:cNvPr id="3" name="Shape 3"/>
          <xdr:cNvSpPr/>
        </xdr:nvSpPr>
        <xdr:spPr>
          <a:xfrm rot="1575564">
            <a:off x="3512222" y="639624"/>
            <a:ext cx="1106601" cy="1776225"/>
          </a:xfrm>
          <a:prstGeom prst="smileyFace">
            <a:avLst>
              <a:gd fmla="val 4653"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3288925" y="2324575"/>
            <a:ext cx="365425" cy="588750"/>
          </a:xfrm>
          <a:custGeom>
            <a:rect b="b" l="l" r="r" t="t"/>
            <a:pathLst>
              <a:path extrusionOk="0" h="23550" w="14617">
                <a:moveTo>
                  <a:pt x="14617" y="0"/>
                </a:moveTo>
                <a:cubicBezTo>
                  <a:pt x="10485" y="8264"/>
                  <a:pt x="4132" y="15286"/>
                  <a:pt x="0" y="23550"/>
                </a:cubicBezTo>
              </a:path>
            </a:pathLst>
          </a:custGeom>
          <a:noFill/>
          <a:ln cap="flat" cmpd="sng" w="9525">
            <a:solidFill>
              <a:srgbClr val="000000"/>
            </a:solidFill>
            <a:prstDash val="solid"/>
            <a:round/>
            <a:headEnd len="med" w="med" type="none"/>
            <a:tailEnd len="med" w="med" type="none"/>
          </a:ln>
        </xdr:spPr>
      </xdr:sp>
      <xdr:sp>
        <xdr:nvSpPr>
          <xdr:cNvPr id="5" name="Shape 5"/>
          <xdr:cNvSpPr/>
        </xdr:nvSpPr>
        <xdr:spPr>
          <a:xfrm>
            <a:off x="3674650" y="1999750"/>
            <a:ext cx="781625" cy="728425"/>
          </a:xfrm>
          <a:custGeom>
            <a:rect b="b" l="l" r="r" t="t"/>
            <a:pathLst>
              <a:path extrusionOk="0" h="29137" w="31265">
                <a:moveTo>
                  <a:pt x="0" y="13399"/>
                </a:moveTo>
                <a:cubicBezTo>
                  <a:pt x="1094" y="17503"/>
                  <a:pt x="1991" y="22053"/>
                  <a:pt x="4873" y="25174"/>
                </a:cubicBezTo>
                <a:cubicBezTo>
                  <a:pt x="8102" y="28671"/>
                  <a:pt x="13995" y="29680"/>
                  <a:pt x="18678" y="28828"/>
                </a:cubicBezTo>
                <a:cubicBezTo>
                  <a:pt x="28994" y="26952"/>
                  <a:pt x="31265" y="10485"/>
                  <a:pt x="31265" y="0"/>
                </a:cubicBezTo>
              </a:path>
            </a:pathLst>
          </a:custGeom>
          <a:noFill/>
          <a:ln cap="flat" cmpd="sng" w="9525">
            <a:solidFill>
              <a:srgbClr val="000000"/>
            </a:solidFill>
            <a:prstDash val="solid"/>
            <a:round/>
            <a:headEnd len="med" w="med" type="none"/>
            <a:tailEnd len="med" w="med" type="none"/>
          </a:ln>
        </xdr:spPr>
      </xdr:sp>
      <xdr:sp>
        <xdr:nvSpPr>
          <xdr:cNvPr id="6" name="Shape 6"/>
          <xdr:cNvSpPr/>
        </xdr:nvSpPr>
        <xdr:spPr>
          <a:xfrm>
            <a:off x="3146800" y="2342191"/>
            <a:ext cx="487250" cy="124475"/>
          </a:xfrm>
          <a:custGeom>
            <a:rect b="b" l="l" r="r" t="t"/>
            <a:pathLst>
              <a:path extrusionOk="0" h="4979" w="19490">
                <a:moveTo>
                  <a:pt x="19490" y="513"/>
                </a:moveTo>
                <a:cubicBezTo>
                  <a:pt x="13024" y="-1104"/>
                  <a:pt x="5961" y="1998"/>
                  <a:pt x="0" y="4979"/>
                </a:cubicBezTo>
              </a:path>
            </a:pathLst>
          </a:custGeom>
          <a:noFill/>
          <a:ln cap="flat" cmpd="sng" w="9525">
            <a:solidFill>
              <a:srgbClr val="000000"/>
            </a:solidFill>
            <a:prstDash val="solid"/>
            <a:round/>
            <a:headEnd len="med" w="med" type="none"/>
            <a:tailEnd len="med" w="med" type="none"/>
          </a:ln>
        </xdr:spPr>
      </xdr:sp>
      <xdr:sp>
        <xdr:nvSpPr>
          <xdr:cNvPr id="7" name="Shape 7"/>
          <xdr:cNvSpPr/>
        </xdr:nvSpPr>
        <xdr:spPr>
          <a:xfrm>
            <a:off x="2761075" y="2446375"/>
            <a:ext cx="406025" cy="426350"/>
          </a:xfrm>
          <a:custGeom>
            <a:rect b="b" l="l" r="r" t="t"/>
            <a:pathLst>
              <a:path extrusionOk="0" h="17054" w="16241">
                <a:moveTo>
                  <a:pt x="16241" y="0"/>
                </a:moveTo>
                <a:cubicBezTo>
                  <a:pt x="11888" y="6532"/>
                  <a:pt x="5551" y="11503"/>
                  <a:pt x="0" y="17054"/>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0</xdr:col>
      <xdr:colOff>781050</xdr:colOff>
      <xdr:row>564</xdr:row>
      <xdr:rowOff>114300</xdr:rowOff>
    </xdr:from>
    <xdr:ext cx="1428750" cy="1190625"/>
    <xdr:grpSp>
      <xdr:nvGrpSpPr>
        <xdr:cNvPr id="2" name="Shape 2" title="Drawing"/>
        <xdr:cNvGrpSpPr/>
      </xdr:nvGrpSpPr>
      <xdr:grpSpPr>
        <a:xfrm>
          <a:off x="2353350" y="1639350"/>
          <a:ext cx="2913300" cy="2436300"/>
          <a:chOff x="2353350" y="1639350"/>
          <a:chExt cx="2913300" cy="2436300"/>
        </a:xfrm>
      </xdr:grpSpPr>
      <xdr:sp>
        <xdr:nvSpPr>
          <xdr:cNvPr id="8" name="Shape 8"/>
          <xdr:cNvSpPr txBox="1"/>
        </xdr:nvSpPr>
        <xdr:spPr>
          <a:xfrm>
            <a:off x="2353350" y="1639350"/>
            <a:ext cx="2913300" cy="24363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600"/>
              <a:t>The end. The And?</a:t>
            </a:r>
            <a:endParaRPr sz="600"/>
          </a:p>
          <a:p>
            <a:pPr indent="0" lvl="0" marL="0" rtl="0" algn="ctr">
              <a:spcBef>
                <a:spcPts val="0"/>
              </a:spcBef>
              <a:spcAft>
                <a:spcPts val="0"/>
              </a:spcAft>
              <a:buNone/>
            </a:pPr>
            <a:r>
              <a:rPr lang="en-US" sz="600"/>
              <a:t>The end. The And?The end. The And?</a:t>
            </a:r>
            <a:endParaRPr sz="600"/>
          </a:p>
          <a:p>
            <a:pPr indent="0" lvl="0" marL="0" rtl="0" algn="ctr">
              <a:spcBef>
                <a:spcPts val="0"/>
              </a:spcBef>
              <a:spcAft>
                <a:spcPts val="0"/>
              </a:spcAft>
              <a:buNone/>
            </a:pPr>
            <a:r>
              <a:rPr lang="en-US" sz="600"/>
              <a:t>The end. The And?The end. The And?</a:t>
            </a:r>
            <a:endParaRPr sz="600"/>
          </a:p>
          <a:p>
            <a:pPr indent="0" lvl="0" marL="0" rtl="0" algn="ctr">
              <a:spcBef>
                <a:spcPts val="0"/>
              </a:spcBef>
              <a:spcAft>
                <a:spcPts val="0"/>
              </a:spcAft>
              <a:buNone/>
            </a:pPr>
            <a:r>
              <a:rPr lang="en-US" sz="600"/>
              <a:t>The end. The And?The end. The And?</a:t>
            </a:r>
            <a:endParaRPr sz="600"/>
          </a:p>
          <a:p>
            <a:pPr indent="0" lvl="0" marL="0" rtl="0" algn="ctr">
              <a:spcBef>
                <a:spcPts val="0"/>
              </a:spcBef>
              <a:spcAft>
                <a:spcPts val="0"/>
              </a:spcAft>
              <a:buNone/>
            </a:pPr>
            <a:r>
              <a:rPr lang="en-US" sz="600"/>
              <a:t>The end. The And?The end. The And?The end. The And?</a:t>
            </a:r>
            <a:endParaRPr sz="600"/>
          </a:p>
          <a:p>
            <a:pPr indent="0" lvl="0" marL="0" rtl="0" algn="ctr">
              <a:spcBef>
                <a:spcPts val="0"/>
              </a:spcBef>
              <a:spcAft>
                <a:spcPts val="0"/>
              </a:spcAft>
              <a:buNone/>
            </a:pPr>
            <a:r>
              <a:rPr lang="en-US" sz="600"/>
              <a:t>The end. The And?The end. The And?The end. The And?</a:t>
            </a:r>
            <a:endParaRPr sz="600"/>
          </a:p>
          <a:p>
            <a:pPr indent="0" lvl="0" marL="0" rtl="0" algn="ctr">
              <a:spcBef>
                <a:spcPts val="0"/>
              </a:spcBef>
              <a:spcAft>
                <a:spcPts val="0"/>
              </a:spcAft>
              <a:buNone/>
            </a:pPr>
            <a:r>
              <a:rPr lang="en-US" sz="600"/>
              <a:t>The end. The And?The end. The And?The end. The And?</a:t>
            </a:r>
            <a:endParaRPr sz="600"/>
          </a:p>
          <a:p>
            <a:pPr indent="0" lvl="0" marL="0" rtl="0" algn="ctr">
              <a:spcBef>
                <a:spcPts val="0"/>
              </a:spcBef>
              <a:spcAft>
                <a:spcPts val="0"/>
              </a:spcAft>
              <a:buNone/>
            </a:pPr>
            <a:r>
              <a:rPr lang="en-US" sz="600"/>
              <a:t>The end. The And?The end. The And?The end. The And?</a:t>
            </a:r>
            <a:endParaRPr sz="600"/>
          </a:p>
          <a:p>
            <a:pPr indent="0" lvl="0" marL="0" rtl="0" algn="ctr">
              <a:spcBef>
                <a:spcPts val="0"/>
              </a:spcBef>
              <a:spcAft>
                <a:spcPts val="0"/>
              </a:spcAft>
              <a:buNone/>
            </a:pPr>
            <a:r>
              <a:rPr lang="en-US" sz="600"/>
              <a:t>The end. The And?The end. The And?The end. The And?The end. The And?</a:t>
            </a:r>
            <a:endParaRPr sz="600"/>
          </a:p>
          <a:p>
            <a:pPr indent="0" lvl="0" marL="0" rtl="0" algn="ctr">
              <a:spcBef>
                <a:spcPts val="0"/>
              </a:spcBef>
              <a:spcAft>
                <a:spcPts val="0"/>
              </a:spcAft>
              <a:buNone/>
            </a:pPr>
            <a:r>
              <a:rPr lang="en-US" sz="600"/>
              <a:t>The end. The And?The end. The And?The end. The And?The end. The And?</a:t>
            </a:r>
            <a:endParaRPr sz="600"/>
          </a:p>
          <a:p>
            <a:pPr indent="0" lvl="0" marL="0" rtl="0" algn="ctr">
              <a:spcBef>
                <a:spcPts val="0"/>
              </a:spcBef>
              <a:spcAft>
                <a:spcPts val="0"/>
              </a:spcAft>
              <a:buNone/>
            </a:pPr>
            <a:r>
              <a:rPr lang="en-US" sz="600"/>
              <a:t>The end. The And?The end. The And?The end. The And?The end. The And?</a:t>
            </a:r>
            <a:endParaRPr sz="600"/>
          </a:p>
          <a:p>
            <a:pPr indent="0" lvl="0" marL="0" rtl="0" algn="ctr">
              <a:spcBef>
                <a:spcPts val="0"/>
              </a:spcBef>
              <a:spcAft>
                <a:spcPts val="0"/>
              </a:spcAft>
              <a:buNone/>
            </a:pPr>
            <a:r>
              <a:rPr lang="en-US" sz="600"/>
              <a:t>The end. The And?The end. The And?The end. The And?The end. The And?</a:t>
            </a:r>
            <a:endParaRPr sz="600"/>
          </a:p>
          <a:p>
            <a:pPr indent="0" lvl="0" marL="0" rtl="0" algn="ctr">
              <a:spcBef>
                <a:spcPts val="0"/>
              </a:spcBef>
              <a:spcAft>
                <a:spcPts val="0"/>
              </a:spcAft>
              <a:buNone/>
            </a:pPr>
            <a:r>
              <a:rPr lang="en-US" sz="600"/>
              <a:t>The end. The And?The end. The And?The end. The And?The end. The And?</a:t>
            </a:r>
            <a:endParaRPr sz="600"/>
          </a:p>
          <a:p>
            <a:pPr indent="0" lvl="0" marL="0" rtl="0" algn="ctr">
              <a:spcBef>
                <a:spcPts val="0"/>
              </a:spcBef>
              <a:spcAft>
                <a:spcPts val="0"/>
              </a:spcAft>
              <a:buNone/>
            </a:pPr>
            <a:r>
              <a:rPr lang="en-US" sz="600"/>
              <a:t>The end. The And?The end. The And?The end. The And?The end. The And?</a:t>
            </a:r>
            <a:endParaRPr sz="600"/>
          </a:p>
          <a:p>
            <a:pPr indent="0" lvl="0" marL="0" rtl="0" algn="ctr">
              <a:spcBef>
                <a:spcPts val="0"/>
              </a:spcBef>
              <a:spcAft>
                <a:spcPts val="0"/>
              </a:spcAft>
              <a:buNone/>
            </a:pPr>
            <a:r>
              <a:rPr lang="en-US" sz="600"/>
              <a:t>The end. The And?The end. The And?The end. The And?The end. The And?</a:t>
            </a:r>
            <a:endParaRPr sz="600"/>
          </a:p>
          <a:p>
            <a:pPr indent="0" lvl="0" marL="0" rtl="0" algn="ctr">
              <a:spcBef>
                <a:spcPts val="0"/>
              </a:spcBef>
              <a:spcAft>
                <a:spcPts val="0"/>
              </a:spcAft>
              <a:buNone/>
            </a:pPr>
            <a:r>
              <a:rPr lang="en-US" sz="600"/>
              <a:t>The end. The And?The end. The And?The end. The And?The end. The And?</a:t>
            </a:r>
            <a:endParaRPr sz="600"/>
          </a:p>
          <a:p>
            <a:pPr indent="0" lvl="0" marL="0" rtl="0" algn="ctr">
              <a:spcBef>
                <a:spcPts val="0"/>
              </a:spcBef>
              <a:spcAft>
                <a:spcPts val="0"/>
              </a:spcAft>
              <a:buNone/>
            </a:pPr>
            <a:r>
              <a:rPr lang="en-US" sz="600"/>
              <a:t>The end. The And?The end. The And?The end. The And?</a:t>
            </a:r>
            <a:endParaRPr sz="600"/>
          </a:p>
          <a:p>
            <a:pPr indent="0" lvl="0" marL="0" rtl="0" algn="ctr">
              <a:spcBef>
                <a:spcPts val="0"/>
              </a:spcBef>
              <a:spcAft>
                <a:spcPts val="0"/>
              </a:spcAft>
              <a:buNone/>
            </a:pPr>
            <a:r>
              <a:rPr lang="en-US" sz="600"/>
              <a:t>The end. The And?The end. The And?The end. The And?</a:t>
            </a:r>
            <a:endParaRPr sz="600"/>
          </a:p>
          <a:p>
            <a:pPr indent="0" lvl="0" marL="0" rtl="0" algn="ctr">
              <a:spcBef>
                <a:spcPts val="0"/>
              </a:spcBef>
              <a:spcAft>
                <a:spcPts val="0"/>
              </a:spcAft>
              <a:buNone/>
            </a:pPr>
            <a:r>
              <a:rPr lang="en-US" sz="600"/>
              <a:t>The end. The And?The end. The And?The end. The And?</a:t>
            </a:r>
            <a:endParaRPr sz="600"/>
          </a:p>
          <a:p>
            <a:pPr indent="0" lvl="0" marL="0" rtl="0" algn="ctr">
              <a:spcBef>
                <a:spcPts val="0"/>
              </a:spcBef>
              <a:spcAft>
                <a:spcPts val="0"/>
              </a:spcAft>
              <a:buNone/>
            </a:pPr>
            <a:r>
              <a:rPr lang="en-US" sz="600"/>
              <a:t>The end. The And?The end. The And?The end. The And?</a:t>
            </a:r>
            <a:endParaRPr sz="600"/>
          </a:p>
          <a:p>
            <a:pPr indent="0" lvl="0" marL="0" rtl="0" algn="ctr">
              <a:spcBef>
                <a:spcPts val="0"/>
              </a:spcBef>
              <a:spcAft>
                <a:spcPts val="0"/>
              </a:spcAft>
              <a:buNone/>
            </a:pPr>
            <a:r>
              <a:rPr lang="en-US" sz="600"/>
              <a:t>The end. The And?The end. The And?</a:t>
            </a:r>
            <a:endParaRPr sz="600"/>
          </a:p>
          <a:p>
            <a:pPr indent="0" lvl="0" marL="0" rtl="0" algn="ctr">
              <a:spcBef>
                <a:spcPts val="0"/>
              </a:spcBef>
              <a:spcAft>
                <a:spcPts val="0"/>
              </a:spcAft>
              <a:buNone/>
            </a:pPr>
            <a:r>
              <a:rPr lang="en-US" sz="600"/>
              <a:t>The end. The And?The end. The And?</a:t>
            </a:r>
            <a:endParaRPr sz="600"/>
          </a:p>
          <a:p>
            <a:pPr indent="0" lvl="0" marL="0" rtl="0" algn="ctr">
              <a:spcBef>
                <a:spcPts val="0"/>
              </a:spcBef>
              <a:spcAft>
                <a:spcPts val="0"/>
              </a:spcAft>
              <a:buNone/>
            </a:pPr>
            <a:r>
              <a:rPr lang="en-US" sz="600"/>
              <a:t>The end. The And?The end. The And?</a:t>
            </a:r>
            <a:endParaRPr sz="600"/>
          </a:p>
          <a:p>
            <a:pPr indent="0" lvl="0" marL="0" rtl="0" algn="ctr">
              <a:spcBef>
                <a:spcPts val="0"/>
              </a:spcBef>
              <a:spcAft>
                <a:spcPts val="0"/>
              </a:spcAft>
              <a:buNone/>
            </a:pPr>
            <a:r>
              <a:rPr lang="en-US" sz="600"/>
              <a:t>The end. The And?</a:t>
            </a:r>
            <a:endParaRPr sz="600"/>
          </a:p>
        </xdr:txBody>
      </xdr:sp>
      <xdr:sp>
        <xdr:nvSpPr>
          <xdr:cNvPr id="9" name="Shape 9"/>
          <xdr:cNvSpPr/>
        </xdr:nvSpPr>
        <xdr:spPr>
          <a:xfrm>
            <a:off x="3358350" y="2380350"/>
            <a:ext cx="903300" cy="954300"/>
          </a:xfrm>
          <a:prstGeom prst="smileyFace">
            <a:avLst>
              <a:gd fmla="val 4653" name="adj"/>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xdr:col>
      <xdr:colOff>57150</xdr:colOff>
      <xdr:row>578</xdr:row>
      <xdr:rowOff>38100</xdr:rowOff>
    </xdr:from>
    <xdr:ext cx="1247775" cy="1304925"/>
    <xdr:grpSp>
      <xdr:nvGrpSpPr>
        <xdr:cNvPr id="2" name="Shape 2" title="Drawing"/>
        <xdr:cNvGrpSpPr/>
      </xdr:nvGrpSpPr>
      <xdr:grpSpPr>
        <a:xfrm>
          <a:off x="1540355" y="578798"/>
          <a:ext cx="2843895" cy="3094912"/>
          <a:chOff x="1540355" y="578798"/>
          <a:chExt cx="2843895" cy="3094912"/>
        </a:xfrm>
      </xdr:grpSpPr>
      <xdr:sp>
        <xdr:nvSpPr>
          <xdr:cNvPr id="10" name="Shape 10"/>
          <xdr:cNvSpPr/>
        </xdr:nvSpPr>
        <xdr:spPr>
          <a:xfrm rot="1263756">
            <a:off x="2365200" y="923823"/>
            <a:ext cx="1278842" cy="1898490"/>
          </a:xfrm>
          <a:prstGeom prst="smileyFace">
            <a:avLst>
              <a:gd fmla="val 4653" name="adj"/>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xdr:nvSpPr>
        <xdr:spPr>
          <a:xfrm>
            <a:off x="1664750" y="904797"/>
            <a:ext cx="1583575" cy="1764900"/>
          </a:xfrm>
          <a:custGeom>
            <a:rect b="b" l="l" r="r" t="t"/>
            <a:pathLst>
              <a:path extrusionOk="0" h="70596" w="63343">
                <a:moveTo>
                  <a:pt x="63343" y="1976"/>
                </a:moveTo>
                <a:cubicBezTo>
                  <a:pt x="57566" y="1254"/>
                  <a:pt x="50727" y="-1659"/>
                  <a:pt x="45883" y="1570"/>
                </a:cubicBezTo>
                <a:cubicBezTo>
                  <a:pt x="39973" y="5510"/>
                  <a:pt x="40830" y="15901"/>
                  <a:pt x="34920" y="19841"/>
                </a:cubicBezTo>
                <a:cubicBezTo>
                  <a:pt x="30938" y="22495"/>
                  <a:pt x="24110" y="22301"/>
                  <a:pt x="22333" y="26744"/>
                </a:cubicBezTo>
                <a:cubicBezTo>
                  <a:pt x="19265" y="34414"/>
                  <a:pt x="24131" y="43675"/>
                  <a:pt x="21520" y="51512"/>
                </a:cubicBezTo>
                <a:cubicBezTo>
                  <a:pt x="20372" y="54957"/>
                  <a:pt x="14344" y="53817"/>
                  <a:pt x="11776" y="56385"/>
                </a:cubicBezTo>
                <a:cubicBezTo>
                  <a:pt x="8750" y="59411"/>
                  <a:pt x="11276" y="66192"/>
                  <a:pt x="7715" y="68566"/>
                </a:cubicBezTo>
                <a:cubicBezTo>
                  <a:pt x="5502" y="70041"/>
                  <a:pt x="2659" y="70596"/>
                  <a:pt x="0" y="70596"/>
                </a:cubicBezTo>
              </a:path>
            </a:pathLst>
          </a:custGeom>
          <a:noFill/>
          <a:ln cap="flat" cmpd="sng" w="9525">
            <a:solidFill>
              <a:srgbClr val="FFD966"/>
            </a:solidFill>
            <a:prstDash val="solid"/>
            <a:round/>
            <a:headEnd len="med" w="med" type="none"/>
            <a:tailEnd len="med" w="med" type="none"/>
          </a:ln>
        </xdr:spPr>
      </xdr:sp>
      <xdr:sp>
        <xdr:nvSpPr>
          <xdr:cNvPr id="12" name="Shape 12"/>
          <xdr:cNvSpPr/>
        </xdr:nvSpPr>
        <xdr:spPr>
          <a:xfrm>
            <a:off x="3228000" y="944050"/>
            <a:ext cx="673550" cy="2365175"/>
          </a:xfrm>
          <a:custGeom>
            <a:rect b="b" l="l" r="r" t="t"/>
            <a:pathLst>
              <a:path extrusionOk="0" h="94607" w="26942">
                <a:moveTo>
                  <a:pt x="0" y="0"/>
                </a:moveTo>
                <a:cubicBezTo>
                  <a:pt x="3790" y="947"/>
                  <a:pt x="7463" y="2842"/>
                  <a:pt x="11370" y="2842"/>
                </a:cubicBezTo>
                <a:cubicBezTo>
                  <a:pt x="14077" y="2842"/>
                  <a:pt x="17576" y="928"/>
                  <a:pt x="19490" y="2842"/>
                </a:cubicBezTo>
                <a:cubicBezTo>
                  <a:pt x="27053" y="10405"/>
                  <a:pt x="20302" y="24223"/>
                  <a:pt x="20302" y="34919"/>
                </a:cubicBezTo>
                <a:cubicBezTo>
                  <a:pt x="20302" y="40926"/>
                  <a:pt x="23591" y="46488"/>
                  <a:pt x="24769" y="52379"/>
                </a:cubicBezTo>
                <a:cubicBezTo>
                  <a:pt x="26559" y="61330"/>
                  <a:pt x="21542" y="70606"/>
                  <a:pt x="17460" y="78771"/>
                </a:cubicBezTo>
                <a:cubicBezTo>
                  <a:pt x="14807" y="84077"/>
                  <a:pt x="31513" y="94607"/>
                  <a:pt x="25581" y="94607"/>
                </a:cubicBezTo>
              </a:path>
            </a:pathLst>
          </a:custGeom>
          <a:noFill/>
          <a:ln cap="flat" cmpd="sng" w="76200">
            <a:solidFill>
              <a:srgbClr val="FFD966"/>
            </a:solidFill>
            <a:prstDash val="solid"/>
            <a:round/>
            <a:headEnd len="med" w="med" type="none"/>
            <a:tailEnd len="med" w="med" type="none"/>
          </a:ln>
        </xdr:spPr>
      </xdr:sp>
      <xdr:sp>
        <xdr:nvSpPr>
          <xdr:cNvPr id="13" name="Shape 13"/>
          <xdr:cNvSpPr/>
        </xdr:nvSpPr>
        <xdr:spPr>
          <a:xfrm>
            <a:off x="2050500" y="887157"/>
            <a:ext cx="1197825" cy="1853600"/>
          </a:xfrm>
          <a:custGeom>
            <a:rect b="b" l="l" r="r" t="t"/>
            <a:pathLst>
              <a:path extrusionOk="0" h="74144" w="47913">
                <a:moveTo>
                  <a:pt x="47913" y="3494"/>
                </a:moveTo>
                <a:cubicBezTo>
                  <a:pt x="43070" y="2284"/>
                  <a:pt x="38190" y="-734"/>
                  <a:pt x="33295" y="245"/>
                </a:cubicBezTo>
                <a:cubicBezTo>
                  <a:pt x="29446" y="1015"/>
                  <a:pt x="28128" y="6188"/>
                  <a:pt x="25174" y="8772"/>
                </a:cubicBezTo>
                <a:cubicBezTo>
                  <a:pt x="21952" y="11590"/>
                  <a:pt x="17291" y="12739"/>
                  <a:pt x="14617" y="16081"/>
                </a:cubicBezTo>
                <a:cubicBezTo>
                  <a:pt x="11698" y="19730"/>
                  <a:pt x="13465" y="25393"/>
                  <a:pt x="12181" y="29886"/>
                </a:cubicBezTo>
                <a:cubicBezTo>
                  <a:pt x="11116" y="33615"/>
                  <a:pt x="7518" y="36296"/>
                  <a:pt x="6497" y="40037"/>
                </a:cubicBezTo>
                <a:cubicBezTo>
                  <a:pt x="4786" y="46306"/>
                  <a:pt x="7364" y="53155"/>
                  <a:pt x="6090" y="59527"/>
                </a:cubicBezTo>
                <a:cubicBezTo>
                  <a:pt x="5448" y="62737"/>
                  <a:pt x="1756" y="64825"/>
                  <a:pt x="1218" y="68054"/>
                </a:cubicBezTo>
                <a:cubicBezTo>
                  <a:pt x="878" y="70096"/>
                  <a:pt x="2071" y="74145"/>
                  <a:pt x="0" y="74145"/>
                </a:cubicBezTo>
              </a:path>
            </a:pathLst>
          </a:custGeom>
          <a:noFill/>
          <a:ln cap="flat" cmpd="sng" w="76200">
            <a:solidFill>
              <a:srgbClr val="FFD966"/>
            </a:solidFill>
            <a:prstDash val="solid"/>
            <a:round/>
            <a:headEnd len="med" w="med" type="none"/>
            <a:tailEnd len="med" w="med" type="none"/>
          </a:ln>
        </xdr:spPr>
      </xdr:sp>
      <xdr:sp>
        <xdr:nvSpPr>
          <xdr:cNvPr id="14" name="Shape 14"/>
          <xdr:cNvSpPr/>
        </xdr:nvSpPr>
        <xdr:spPr>
          <a:xfrm>
            <a:off x="1641742" y="994800"/>
            <a:ext cx="1393400" cy="1867775"/>
          </a:xfrm>
          <a:custGeom>
            <a:rect b="b" l="l" r="r" t="t"/>
            <a:pathLst>
              <a:path extrusionOk="0" h="74711" w="55736">
                <a:moveTo>
                  <a:pt x="55736" y="0"/>
                </a:moveTo>
                <a:cubicBezTo>
                  <a:pt x="51604" y="2224"/>
                  <a:pt x="45703" y="3358"/>
                  <a:pt x="43961" y="7715"/>
                </a:cubicBezTo>
                <a:cubicBezTo>
                  <a:pt x="41255" y="14483"/>
                  <a:pt x="40548" y="22453"/>
                  <a:pt x="35840" y="28017"/>
                </a:cubicBezTo>
                <a:cubicBezTo>
                  <a:pt x="31881" y="32695"/>
                  <a:pt x="27148" y="36681"/>
                  <a:pt x="22440" y="40604"/>
                </a:cubicBezTo>
                <a:cubicBezTo>
                  <a:pt x="21255" y="41592"/>
                  <a:pt x="19089" y="41933"/>
                  <a:pt x="18786" y="43446"/>
                </a:cubicBezTo>
                <a:cubicBezTo>
                  <a:pt x="17798" y="48385"/>
                  <a:pt x="23726" y="54678"/>
                  <a:pt x="20410" y="58469"/>
                </a:cubicBezTo>
                <a:cubicBezTo>
                  <a:pt x="15935" y="63585"/>
                  <a:pt x="9664" y="66873"/>
                  <a:pt x="3763" y="70245"/>
                </a:cubicBezTo>
                <a:cubicBezTo>
                  <a:pt x="2165" y="71158"/>
                  <a:pt x="-1133" y="73888"/>
                  <a:pt x="514" y="74711"/>
                </a:cubicBezTo>
              </a:path>
            </a:pathLst>
          </a:custGeom>
          <a:noFill/>
          <a:ln cap="flat" cmpd="sng" w="76200">
            <a:solidFill>
              <a:srgbClr val="FFD966"/>
            </a:solidFill>
            <a:prstDash val="solid"/>
            <a:round/>
            <a:headEnd len="med" w="med" type="none"/>
            <a:tailEnd len="med" w="med" type="none"/>
          </a:ln>
        </xdr:spPr>
      </xdr:sp>
      <xdr:sp>
        <xdr:nvSpPr>
          <xdr:cNvPr id="15" name="Shape 15"/>
          <xdr:cNvSpPr/>
        </xdr:nvSpPr>
        <xdr:spPr>
          <a:xfrm>
            <a:off x="3288925" y="1004950"/>
            <a:ext cx="607000" cy="2466675"/>
          </a:xfrm>
          <a:custGeom>
            <a:rect b="b" l="l" r="r" t="t"/>
            <a:pathLst>
              <a:path extrusionOk="0" h="98667" w="24280">
                <a:moveTo>
                  <a:pt x="0" y="0"/>
                </a:moveTo>
                <a:cubicBezTo>
                  <a:pt x="5782" y="5782"/>
                  <a:pt x="7565" y="14575"/>
                  <a:pt x="10151" y="22332"/>
                </a:cubicBezTo>
                <a:cubicBezTo>
                  <a:pt x="12604" y="29690"/>
                  <a:pt x="18639" y="35433"/>
                  <a:pt x="21520" y="42634"/>
                </a:cubicBezTo>
                <a:cubicBezTo>
                  <a:pt x="28460" y="59983"/>
                  <a:pt x="19896" y="79981"/>
                  <a:pt x="19896" y="98667"/>
                </a:cubicBezTo>
              </a:path>
            </a:pathLst>
          </a:custGeom>
          <a:noFill/>
          <a:ln cap="flat" cmpd="sng" w="76200">
            <a:solidFill>
              <a:srgbClr val="FFD966"/>
            </a:solidFill>
            <a:prstDash val="solid"/>
            <a:round/>
            <a:headEnd len="med" w="med" type="none"/>
            <a:tailEnd len="med" w="med" type="none"/>
          </a:ln>
        </xdr:spPr>
      </xdr:sp>
      <xdr:sp>
        <xdr:nvSpPr>
          <xdr:cNvPr id="16" name="Shape 16"/>
          <xdr:cNvSpPr/>
        </xdr:nvSpPr>
        <xdr:spPr>
          <a:xfrm>
            <a:off x="3329525" y="1106450"/>
            <a:ext cx="289350" cy="1999750"/>
          </a:xfrm>
          <a:custGeom>
            <a:rect b="b" l="l" r="r" t="t"/>
            <a:pathLst>
              <a:path extrusionOk="0" h="79990" w="11574">
                <a:moveTo>
                  <a:pt x="4872" y="0"/>
                </a:moveTo>
                <a:cubicBezTo>
                  <a:pt x="6588" y="4006"/>
                  <a:pt x="9840" y="7476"/>
                  <a:pt x="10557" y="11775"/>
                </a:cubicBezTo>
                <a:cubicBezTo>
                  <a:pt x="11351" y="16540"/>
                  <a:pt x="7278" y="21176"/>
                  <a:pt x="7715" y="25987"/>
                </a:cubicBezTo>
                <a:cubicBezTo>
                  <a:pt x="8445" y="34012"/>
                  <a:pt x="13014" y="42150"/>
                  <a:pt x="10963" y="49943"/>
                </a:cubicBezTo>
                <a:cubicBezTo>
                  <a:pt x="8250" y="60253"/>
                  <a:pt x="0" y="69328"/>
                  <a:pt x="0" y="79990"/>
                </a:cubicBezTo>
              </a:path>
            </a:pathLst>
          </a:custGeom>
          <a:noFill/>
          <a:ln cap="flat" cmpd="sng" w="76200">
            <a:solidFill>
              <a:srgbClr val="FFD966"/>
            </a:solidFill>
            <a:prstDash val="solid"/>
            <a:round/>
            <a:headEnd len="med" w="med" type="none"/>
            <a:tailEnd len="med" w="med" type="none"/>
          </a:ln>
        </xdr:spPr>
      </xdr:sp>
      <xdr:sp>
        <xdr:nvSpPr>
          <xdr:cNvPr id="17" name="Shape 17"/>
          <xdr:cNvSpPr/>
        </xdr:nvSpPr>
        <xdr:spPr>
          <a:xfrm>
            <a:off x="1540355" y="974500"/>
            <a:ext cx="1444000" cy="2304275"/>
          </a:xfrm>
          <a:custGeom>
            <a:rect b="b" l="l" r="r" t="t"/>
            <a:pathLst>
              <a:path extrusionOk="0" h="92171" w="57760">
                <a:moveTo>
                  <a:pt x="57761" y="0"/>
                </a:moveTo>
                <a:cubicBezTo>
                  <a:pt x="50619" y="2101"/>
                  <a:pt x="41196" y="3492"/>
                  <a:pt x="37866" y="10151"/>
                </a:cubicBezTo>
                <a:cubicBezTo>
                  <a:pt x="34342" y="17198"/>
                  <a:pt x="44414" y="27246"/>
                  <a:pt x="39896" y="33701"/>
                </a:cubicBezTo>
                <a:cubicBezTo>
                  <a:pt x="34407" y="41543"/>
                  <a:pt x="23555" y="45521"/>
                  <a:pt x="20000" y="54409"/>
                </a:cubicBezTo>
                <a:cubicBezTo>
                  <a:pt x="18488" y="58189"/>
                  <a:pt x="23248" y="62112"/>
                  <a:pt x="23248" y="66184"/>
                </a:cubicBezTo>
                <a:cubicBezTo>
                  <a:pt x="23248" y="71036"/>
                  <a:pt x="14188" y="69699"/>
                  <a:pt x="9849" y="71869"/>
                </a:cubicBezTo>
                <a:cubicBezTo>
                  <a:pt x="3187" y="75201"/>
                  <a:pt x="-1296" y="84944"/>
                  <a:pt x="510" y="92171"/>
                </a:cubicBezTo>
              </a:path>
            </a:pathLst>
          </a:custGeom>
          <a:noFill/>
          <a:ln cap="flat" cmpd="sng" w="76200">
            <a:solidFill>
              <a:srgbClr val="FFD966"/>
            </a:solidFill>
            <a:prstDash val="solid"/>
            <a:round/>
            <a:headEnd len="med" w="med" type="none"/>
            <a:tailEnd len="med" w="med" type="none"/>
          </a:ln>
        </xdr:spPr>
      </xdr:sp>
      <xdr:sp>
        <xdr:nvSpPr>
          <xdr:cNvPr id="18" name="Shape 18"/>
          <xdr:cNvSpPr/>
        </xdr:nvSpPr>
        <xdr:spPr>
          <a:xfrm>
            <a:off x="1624150" y="974159"/>
            <a:ext cx="1482050" cy="2172625"/>
          </a:xfrm>
          <a:custGeom>
            <a:rect b="b" l="l" r="r" t="t"/>
            <a:pathLst>
              <a:path extrusionOk="0" h="86905" w="59282">
                <a:moveTo>
                  <a:pt x="59282" y="14"/>
                </a:moveTo>
                <a:cubicBezTo>
                  <a:pt x="52221" y="14"/>
                  <a:pt x="43999" y="-41"/>
                  <a:pt x="38574" y="4480"/>
                </a:cubicBezTo>
                <a:cubicBezTo>
                  <a:pt x="33918" y="8360"/>
                  <a:pt x="33074" y="15322"/>
                  <a:pt x="29641" y="20316"/>
                </a:cubicBezTo>
                <a:cubicBezTo>
                  <a:pt x="25989" y="25629"/>
                  <a:pt x="19854" y="29353"/>
                  <a:pt x="17460" y="35339"/>
                </a:cubicBezTo>
                <a:cubicBezTo>
                  <a:pt x="14474" y="42805"/>
                  <a:pt x="21623" y="51363"/>
                  <a:pt x="20302" y="59295"/>
                </a:cubicBezTo>
                <a:cubicBezTo>
                  <a:pt x="19420" y="64590"/>
                  <a:pt x="14419" y="68278"/>
                  <a:pt x="11369" y="72695"/>
                </a:cubicBezTo>
                <a:cubicBezTo>
                  <a:pt x="7922" y="77687"/>
                  <a:pt x="6066" y="86906"/>
                  <a:pt x="0" y="86906"/>
                </a:cubicBezTo>
              </a:path>
            </a:pathLst>
          </a:custGeom>
          <a:noFill/>
          <a:ln cap="flat" cmpd="sng" w="76200">
            <a:solidFill>
              <a:srgbClr val="FFD966"/>
            </a:solidFill>
            <a:prstDash val="solid"/>
            <a:round/>
            <a:headEnd len="med" w="med" type="none"/>
            <a:tailEnd len="med" w="med" type="none"/>
          </a:ln>
        </xdr:spPr>
      </xdr:sp>
      <xdr:sp>
        <xdr:nvSpPr>
          <xdr:cNvPr id="19" name="Shape 19"/>
          <xdr:cNvSpPr/>
        </xdr:nvSpPr>
        <xdr:spPr>
          <a:xfrm>
            <a:off x="3309225" y="984650"/>
            <a:ext cx="415925" cy="2659550"/>
          </a:xfrm>
          <a:custGeom>
            <a:rect b="b" l="l" r="r" t="t"/>
            <a:pathLst>
              <a:path extrusionOk="0" h="106382" w="16637">
                <a:moveTo>
                  <a:pt x="0" y="0"/>
                </a:moveTo>
                <a:cubicBezTo>
                  <a:pt x="4777" y="1911"/>
                  <a:pt x="12179" y="2021"/>
                  <a:pt x="13805" y="6902"/>
                </a:cubicBezTo>
                <a:cubicBezTo>
                  <a:pt x="16274" y="14312"/>
                  <a:pt x="9238" y="22290"/>
                  <a:pt x="10151" y="30047"/>
                </a:cubicBezTo>
                <a:cubicBezTo>
                  <a:pt x="11160" y="38621"/>
                  <a:pt x="14147" y="46845"/>
                  <a:pt x="16241" y="55221"/>
                </a:cubicBezTo>
                <a:cubicBezTo>
                  <a:pt x="18473" y="64151"/>
                  <a:pt x="10355" y="72685"/>
                  <a:pt x="8121" y="81614"/>
                </a:cubicBezTo>
                <a:cubicBezTo>
                  <a:pt x="6096" y="89710"/>
                  <a:pt x="11775" y="98037"/>
                  <a:pt x="11775" y="106382"/>
                </a:cubicBezTo>
              </a:path>
            </a:pathLst>
          </a:custGeom>
          <a:noFill/>
          <a:ln cap="flat" cmpd="sng" w="76200">
            <a:solidFill>
              <a:srgbClr val="FFD966"/>
            </a:solidFill>
            <a:prstDash val="solid"/>
            <a:round/>
            <a:headEnd len="med" w="med" type="none"/>
            <a:tailEnd len="med" w="med" type="none"/>
          </a:ln>
        </xdr:spPr>
      </xdr:sp>
      <xdr:sp>
        <xdr:nvSpPr>
          <xdr:cNvPr id="20" name="Shape 20"/>
          <xdr:cNvSpPr/>
        </xdr:nvSpPr>
        <xdr:spPr>
          <a:xfrm rot="6725230">
            <a:off x="3152801" y="578798"/>
            <a:ext cx="223394" cy="903436"/>
          </a:xfrm>
          <a:prstGeom prst="moon">
            <a:avLst>
              <a:gd fmla="val 50000" name="adj"/>
            </a:avLst>
          </a:prstGeom>
          <a:solidFill>
            <a:srgbClr val="FFD966"/>
          </a:solidFill>
          <a:ln cap="flat" cmpd="sng" w="9525">
            <a:solidFill>
              <a:srgbClr val="FFD966"/>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1" name="Shape 21"/>
          <xdr:cNvSpPr/>
        </xdr:nvSpPr>
        <xdr:spPr>
          <a:xfrm>
            <a:off x="3715250" y="2943775"/>
            <a:ext cx="606900" cy="546300"/>
          </a:xfrm>
          <a:prstGeom prst="ellipse">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2" name="Shape 22"/>
          <xdr:cNvSpPr/>
        </xdr:nvSpPr>
        <xdr:spPr>
          <a:xfrm rot="898180">
            <a:off x="2171621" y="2760154"/>
            <a:ext cx="781626" cy="913556"/>
          </a:xfrm>
          <a:prstGeom prst="trapezoid">
            <a:avLst>
              <a:gd fmla="val 25000" name="adj"/>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3" name="Shape 23"/>
          <xdr:cNvSpPr/>
        </xdr:nvSpPr>
        <xdr:spPr>
          <a:xfrm>
            <a:off x="2882875" y="2375325"/>
            <a:ext cx="348700" cy="629375"/>
          </a:xfrm>
          <a:custGeom>
            <a:rect b="b" l="l" r="r" t="t"/>
            <a:pathLst>
              <a:path extrusionOk="0" h="25175" w="13948">
                <a:moveTo>
                  <a:pt x="0" y="25175"/>
                </a:moveTo>
                <a:cubicBezTo>
                  <a:pt x="5576" y="24060"/>
                  <a:pt x="12021" y="20135"/>
                  <a:pt x="13399" y="14618"/>
                </a:cubicBezTo>
                <a:cubicBezTo>
                  <a:pt x="14625" y="9712"/>
                  <a:pt x="13862" y="2262"/>
                  <a:pt x="9339" y="0"/>
                </a:cubicBezTo>
              </a:path>
            </a:pathLst>
          </a:custGeom>
          <a:noFill/>
          <a:ln cap="flat" cmpd="sng" w="38100">
            <a:solidFill>
              <a:srgbClr val="000000"/>
            </a:solidFill>
            <a:prstDash val="solid"/>
            <a:round/>
            <a:headEnd len="med" w="med" type="none"/>
            <a:tailEnd len="med" w="med" type="none"/>
          </a:ln>
        </xdr:spPr>
      </xdr:sp>
      <xdr:sp>
        <xdr:nvSpPr>
          <xdr:cNvPr id="24" name="Shape 24"/>
          <xdr:cNvSpPr/>
        </xdr:nvSpPr>
        <xdr:spPr>
          <a:xfrm rot="1967972">
            <a:off x="3010814" y="2283964"/>
            <a:ext cx="289089" cy="182740"/>
          </a:xfrm>
          <a:prstGeom prst="leftRightArrowCallout">
            <a:avLst>
              <a:gd fmla="val 25000" name="adj1"/>
              <a:gd fmla="val 25000" name="adj2"/>
              <a:gd fmla="val 25000" name="adj3"/>
              <a:gd fmla="val 48123" name="adj4"/>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5" name="Shape 25"/>
          <xdr:cNvSpPr txBox="1"/>
        </xdr:nvSpPr>
        <xdr:spPr>
          <a:xfrm>
            <a:off x="3653150" y="2962975"/>
            <a:ext cx="731100" cy="5541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800"/>
              <a:t>Layaway</a:t>
            </a:r>
            <a:endParaRPr sz="800"/>
          </a:p>
          <a:p>
            <a:pPr indent="0" lvl="0" marL="0" rtl="0" algn="ctr">
              <a:spcBef>
                <a:spcPts val="0"/>
              </a:spcBef>
              <a:spcAft>
                <a:spcPts val="0"/>
              </a:spcAft>
              <a:buNone/>
            </a:pPr>
            <a:r>
              <a:rPr lang="en-US" sz="800"/>
              <a:t>$</a:t>
            </a:r>
            <a:endParaRPr sz="800"/>
          </a:p>
          <a:p>
            <a:pPr indent="0" lvl="0" marL="0" rtl="0" algn="ctr">
              <a:spcBef>
                <a:spcPts val="0"/>
              </a:spcBef>
              <a:spcAft>
                <a:spcPts val="0"/>
              </a:spcAft>
              <a:buNone/>
            </a:pPr>
            <a:r>
              <a:rPr lang="en-US" sz="800"/>
              <a:t>luv</a:t>
            </a:r>
            <a:endParaRPr sz="800"/>
          </a:p>
        </xdr:txBody>
      </xdr:sp>
    </xdr:grpSp>
    <xdr:clientData fLocksWithSheet="0"/>
  </xdr:oneCellAnchor>
  <xdr:oneCellAnchor>
    <xdr:from>
      <xdr:col>1</xdr:col>
      <xdr:colOff>38100</xdr:colOff>
      <xdr:row>84</xdr:row>
      <xdr:rowOff>190500</xdr:rowOff>
    </xdr:from>
    <xdr:ext cx="1381125" cy="140017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933450</xdr:colOff>
      <xdr:row>91</xdr:row>
      <xdr:rowOff>190500</xdr:rowOff>
    </xdr:from>
    <xdr:ext cx="1381125" cy="1400175"/>
    <xdr:pic>
      <xdr:nvPicPr>
        <xdr:cNvPr id="0" name="image4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914400</xdr:colOff>
      <xdr:row>78</xdr:row>
      <xdr:rowOff>9525</xdr:rowOff>
    </xdr:from>
    <xdr:ext cx="1381125" cy="1352550"/>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895350</xdr:colOff>
      <xdr:row>105</xdr:row>
      <xdr:rowOff>180975</xdr:rowOff>
    </xdr:from>
    <xdr:ext cx="1428750" cy="1400175"/>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895350</xdr:colOff>
      <xdr:row>112</xdr:row>
      <xdr:rowOff>180975</xdr:rowOff>
    </xdr:from>
    <xdr:ext cx="1428750" cy="1400175"/>
    <xdr:pic>
      <xdr:nvPicPr>
        <xdr:cNvPr id="0" name="image2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885825</xdr:colOff>
      <xdr:row>119</xdr:row>
      <xdr:rowOff>152400</xdr:rowOff>
    </xdr:from>
    <xdr:ext cx="1428750" cy="1447800"/>
    <xdr:pic>
      <xdr:nvPicPr>
        <xdr:cNvPr id="0" name="image1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885825</xdr:colOff>
      <xdr:row>126</xdr:row>
      <xdr:rowOff>152400</xdr:rowOff>
    </xdr:from>
    <xdr:ext cx="1428750" cy="1447800"/>
    <xdr:pic>
      <xdr:nvPicPr>
        <xdr:cNvPr id="0" name="image3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885825</xdr:colOff>
      <xdr:row>133</xdr:row>
      <xdr:rowOff>200025</xdr:rowOff>
    </xdr:from>
    <xdr:ext cx="1428750" cy="1400175"/>
    <xdr:pic>
      <xdr:nvPicPr>
        <xdr:cNvPr id="0" name="image1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895350</xdr:colOff>
      <xdr:row>140</xdr:row>
      <xdr:rowOff>171450</xdr:rowOff>
    </xdr:from>
    <xdr:ext cx="1428750" cy="1400175"/>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914400</xdr:colOff>
      <xdr:row>147</xdr:row>
      <xdr:rowOff>171450</xdr:rowOff>
    </xdr:from>
    <xdr:ext cx="1428750" cy="1400175"/>
    <xdr:pic>
      <xdr:nvPicPr>
        <xdr:cNvPr id="0" name="image1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866775</xdr:colOff>
      <xdr:row>154</xdr:row>
      <xdr:rowOff>104775</xdr:rowOff>
    </xdr:from>
    <xdr:ext cx="1428750" cy="1447800"/>
    <xdr:pic>
      <xdr:nvPicPr>
        <xdr:cNvPr id="0" name="image3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933450</xdr:colOff>
      <xdr:row>161</xdr:row>
      <xdr:rowOff>200025</xdr:rowOff>
    </xdr:from>
    <xdr:ext cx="1381125" cy="1352550"/>
    <xdr:pic>
      <xdr:nvPicPr>
        <xdr:cNvPr id="0" name="image1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885825</xdr:colOff>
      <xdr:row>168</xdr:row>
      <xdr:rowOff>114300</xdr:rowOff>
    </xdr:from>
    <xdr:ext cx="1428750" cy="1400175"/>
    <xdr:pic>
      <xdr:nvPicPr>
        <xdr:cNvPr id="0" name="image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923925</xdr:colOff>
      <xdr:row>175</xdr:row>
      <xdr:rowOff>142875</xdr:rowOff>
    </xdr:from>
    <xdr:ext cx="1381125" cy="1352550"/>
    <xdr:pic>
      <xdr:nvPicPr>
        <xdr:cNvPr id="0" name="image2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895350</xdr:colOff>
      <xdr:row>182</xdr:row>
      <xdr:rowOff>190500</xdr:rowOff>
    </xdr:from>
    <xdr:ext cx="1428750" cy="1304925"/>
    <xdr:pic>
      <xdr:nvPicPr>
        <xdr:cNvPr id="0" name="image2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933450</xdr:colOff>
      <xdr:row>189</xdr:row>
      <xdr:rowOff>190500</xdr:rowOff>
    </xdr:from>
    <xdr:ext cx="1371600" cy="1352550"/>
    <xdr:pic>
      <xdr:nvPicPr>
        <xdr:cNvPr id="0" name="image2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914400</xdr:colOff>
      <xdr:row>196</xdr:row>
      <xdr:rowOff>161925</xdr:rowOff>
    </xdr:from>
    <xdr:ext cx="1428750" cy="1352550"/>
    <xdr:pic>
      <xdr:nvPicPr>
        <xdr:cNvPr id="0" name="image1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923925</xdr:colOff>
      <xdr:row>203</xdr:row>
      <xdr:rowOff>161925</xdr:rowOff>
    </xdr:from>
    <xdr:ext cx="1381125" cy="1352550"/>
    <xdr:pic>
      <xdr:nvPicPr>
        <xdr:cNvPr id="0" name="image22.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914400</xdr:colOff>
      <xdr:row>210</xdr:row>
      <xdr:rowOff>171450</xdr:rowOff>
    </xdr:from>
    <xdr:ext cx="1428750" cy="1352550"/>
    <xdr:pic>
      <xdr:nvPicPr>
        <xdr:cNvPr id="0" name="image10.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895350</xdr:colOff>
      <xdr:row>224</xdr:row>
      <xdr:rowOff>180975</xdr:rowOff>
    </xdr:from>
    <xdr:ext cx="1428750" cy="1352550"/>
    <xdr:pic>
      <xdr:nvPicPr>
        <xdr:cNvPr id="0" name="image1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781050</xdr:colOff>
      <xdr:row>355</xdr:row>
      <xdr:rowOff>180975</xdr:rowOff>
    </xdr:from>
    <xdr:ext cx="1428750" cy="1143000"/>
    <xdr:pic>
      <xdr:nvPicPr>
        <xdr:cNvPr id="0" name="image8.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781050</xdr:colOff>
      <xdr:row>349</xdr:row>
      <xdr:rowOff>142875</xdr:rowOff>
    </xdr:from>
    <xdr:ext cx="1428750" cy="1143000"/>
    <xdr:pic>
      <xdr:nvPicPr>
        <xdr:cNvPr id="0" name="image29.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914400</xdr:colOff>
      <xdr:row>493</xdr:row>
      <xdr:rowOff>171450</xdr:rowOff>
    </xdr:from>
    <xdr:ext cx="1428750" cy="1352550"/>
    <xdr:pic>
      <xdr:nvPicPr>
        <xdr:cNvPr id="0" name="image42.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809625</xdr:colOff>
      <xdr:row>605</xdr:row>
      <xdr:rowOff>200025</xdr:rowOff>
    </xdr:from>
    <xdr:ext cx="1371600" cy="1400175"/>
    <xdr:pic>
      <xdr:nvPicPr>
        <xdr:cNvPr id="0" name="image35.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800100</xdr:colOff>
      <xdr:row>941</xdr:row>
      <xdr:rowOff>152400</xdr:rowOff>
    </xdr:from>
    <xdr:ext cx="1381125" cy="1447800"/>
    <xdr:pic>
      <xdr:nvPicPr>
        <xdr:cNvPr id="0" name="image30.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781050</xdr:colOff>
      <xdr:row>948</xdr:row>
      <xdr:rowOff>152400</xdr:rowOff>
    </xdr:from>
    <xdr:ext cx="1457325" cy="1447800"/>
    <xdr:pic>
      <xdr:nvPicPr>
        <xdr:cNvPr id="0" name="image5.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762000</xdr:colOff>
      <xdr:row>955</xdr:row>
      <xdr:rowOff>200025</xdr:rowOff>
    </xdr:from>
    <xdr:ext cx="1428750" cy="1400175"/>
    <xdr:pic>
      <xdr:nvPicPr>
        <xdr:cNvPr id="0" name="image31.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762000</xdr:colOff>
      <xdr:row>976</xdr:row>
      <xdr:rowOff>152400</xdr:rowOff>
    </xdr:from>
    <xdr:ext cx="1428750" cy="1447800"/>
    <xdr:pic>
      <xdr:nvPicPr>
        <xdr:cNvPr id="0" name="image25.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xdr:row>
      <xdr:rowOff>0</xdr:rowOff>
    </xdr:from>
    <xdr:ext cx="190500" cy="190500"/>
    <xdr:pic>
      <xdr:nvPicPr>
        <xdr:cNvPr id="0" name="image4.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8</xdr:row>
      <xdr:rowOff>0</xdr:rowOff>
    </xdr:from>
    <xdr:ext cx="190500" cy="180975"/>
    <xdr:pic>
      <xdr:nvPicPr>
        <xdr:cNvPr id="0" name="image18.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15</xdr:row>
      <xdr:rowOff>0</xdr:rowOff>
    </xdr:from>
    <xdr:ext cx="190500" cy="190500"/>
    <xdr:pic>
      <xdr:nvPicPr>
        <xdr:cNvPr id="0" name="image17.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22</xdr:row>
      <xdr:rowOff>0</xdr:rowOff>
    </xdr:from>
    <xdr:ext cx="200025" cy="200025"/>
    <xdr:pic>
      <xdr:nvPicPr>
        <xdr:cNvPr id="0" name="image20.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xdr:row>
      <xdr:rowOff>0</xdr:rowOff>
    </xdr:from>
    <xdr:ext cx="200025" cy="200025"/>
    <xdr:pic>
      <xdr:nvPicPr>
        <xdr:cNvPr id="0" name="image28.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36</xdr:row>
      <xdr:rowOff>0</xdr:rowOff>
    </xdr:from>
    <xdr:ext cx="200025" cy="200025"/>
    <xdr:pic>
      <xdr:nvPicPr>
        <xdr:cNvPr id="0" name="image33.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43</xdr:row>
      <xdr:rowOff>0</xdr:rowOff>
    </xdr:from>
    <xdr:ext cx="200025" cy="200025"/>
    <xdr:pic>
      <xdr:nvPicPr>
        <xdr:cNvPr id="0" name="image34.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50</xdr:row>
      <xdr:rowOff>0</xdr:rowOff>
    </xdr:from>
    <xdr:ext cx="200025" cy="200025"/>
    <xdr:pic>
      <xdr:nvPicPr>
        <xdr:cNvPr id="0" name="image4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57</xdr:row>
      <xdr:rowOff>0</xdr:rowOff>
    </xdr:from>
    <xdr:ext cx="200025" cy="200025"/>
    <xdr:pic>
      <xdr:nvPicPr>
        <xdr:cNvPr id="0" name="image38.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64</xdr:row>
      <xdr:rowOff>0</xdr:rowOff>
    </xdr:from>
    <xdr:ext cx="200025" cy="200025"/>
    <xdr:pic>
      <xdr:nvPicPr>
        <xdr:cNvPr id="0" name="image40.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71</xdr:row>
      <xdr:rowOff>0</xdr:rowOff>
    </xdr:from>
    <xdr:ext cx="200025" cy="200025"/>
    <xdr:pic>
      <xdr:nvPicPr>
        <xdr:cNvPr id="0" name="image37.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99</xdr:row>
      <xdr:rowOff>0</xdr:rowOff>
    </xdr:from>
    <xdr:ext cx="200025" cy="200025"/>
    <xdr:pic>
      <xdr:nvPicPr>
        <xdr:cNvPr id="0" name="image39.jpg"/>
        <xdr:cNvPicPr preferRelativeResize="0"/>
      </xdr:nvPicPr>
      <xdr:blipFill>
        <a:blip cstate="print" r:embed="rId4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35</xdr:row>
      <xdr:rowOff>0</xdr:rowOff>
    </xdr:from>
    <xdr:ext cx="1123950" cy="676275"/>
    <xdr:pic>
      <xdr:nvPicPr>
        <xdr:cNvPr id="0" name="image2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Treaty_on_the_Non-Proliferation_of_Nuclear_Weapon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eoguessr.com/challenge/dm19focaLv8yqGYb" TargetMode="External"/><Relationship Id="rId3" Type="http://schemas.openxmlformats.org/officeDocument/2006/relationships/hyperlink" Target="https://www.geoguessr.com/challenge/0rKx9SOKuuSfTQmt" TargetMode="External"/><Relationship Id="rId4" Type="http://schemas.openxmlformats.org/officeDocument/2006/relationships/hyperlink" Target="https://www.geoguessr.com/challenge/yYbneHfBxtX8yhUX" TargetMode="External"/><Relationship Id="rId9" Type="http://schemas.openxmlformats.org/officeDocument/2006/relationships/hyperlink" Target="https://www.geoguessr.com/challenge/0rKx9SOKuuSfTQmt" TargetMode="External"/><Relationship Id="rId5" Type="http://schemas.openxmlformats.org/officeDocument/2006/relationships/hyperlink" Target="https://www.geoguessr.com/challenge/zAcZZuJIDBVzqlIE" TargetMode="External"/><Relationship Id="rId6" Type="http://schemas.openxmlformats.org/officeDocument/2006/relationships/hyperlink" Target="https://www.geoguessr.com/challenge/KsXWLNimn6ypMePu" TargetMode="External"/><Relationship Id="rId7" Type="http://schemas.openxmlformats.org/officeDocument/2006/relationships/hyperlink" Target="https://www.geoguessr.com/challenge/0rKx9SOKuuSfTQmt" TargetMode="External"/><Relationship Id="rId8" Type="http://schemas.openxmlformats.org/officeDocument/2006/relationships/hyperlink" Target="https://www.geoguessr.com/challenge/cdDkW5unH69wRgSf" TargetMode="External"/><Relationship Id="rId11" Type="http://schemas.openxmlformats.org/officeDocument/2006/relationships/hyperlink" Target="https://www.geoguessr.com/challenge/oqDcNylhkuXbHM8s" TargetMode="External"/><Relationship Id="rId10" Type="http://schemas.openxmlformats.org/officeDocument/2006/relationships/hyperlink" Target="https://www.geoguessr.com/challenge/nV3wQKqfTeFya9gW" TargetMode="External"/><Relationship Id="rId13" Type="http://schemas.openxmlformats.org/officeDocument/2006/relationships/hyperlink" Target="https://www.geoguessr.com/challenge/XeVOmqqvtjtOE3Ey" TargetMode="External"/><Relationship Id="rId12" Type="http://schemas.openxmlformats.org/officeDocument/2006/relationships/hyperlink" Target="https://www.geoguessr.com/challenge/qmxfGoL2QSIBdsSX" TargetMode="External"/><Relationship Id="rId15" Type="http://schemas.openxmlformats.org/officeDocument/2006/relationships/vmlDrawing" Target="../drawings/vmlDrawing1.v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receiptify.herokuapp.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1" width="9.14"/>
    <col customWidth="1" min="12" max="12" width="12.0"/>
    <col customWidth="1" min="13" max="28" width="9.14"/>
  </cols>
  <sheetData>
    <row r="1" ht="16.5" customHeight="1">
      <c r="A1" s="2" t="s">
        <v>0</v>
      </c>
      <c r="B1" s="2"/>
      <c r="C1" s="2"/>
      <c r="D1" s="2"/>
      <c r="E1" s="2"/>
      <c r="F1" s="2"/>
      <c r="G1" s="2"/>
      <c r="H1" s="2"/>
      <c r="I1" s="2"/>
      <c r="J1" s="2"/>
      <c r="K1" s="2"/>
      <c r="L1" s="2"/>
      <c r="M1" s="5"/>
      <c r="N1" s="5"/>
      <c r="O1" s="5"/>
      <c r="P1" s="5"/>
      <c r="Q1" s="5"/>
      <c r="R1" s="5"/>
      <c r="S1" s="5"/>
      <c r="T1" s="6"/>
      <c r="U1" s="6"/>
      <c r="V1" s="6"/>
      <c r="W1" s="6"/>
      <c r="X1" s="6"/>
      <c r="Y1" s="6"/>
      <c r="Z1" s="6"/>
      <c r="AA1" s="6"/>
      <c r="AB1" s="6"/>
    </row>
    <row r="2" ht="16.5" customHeight="1">
      <c r="A2" s="2"/>
      <c r="B2" s="2"/>
      <c r="C2" s="2"/>
      <c r="D2" s="2"/>
      <c r="E2" s="2"/>
      <c r="F2" s="2"/>
      <c r="G2" s="2"/>
      <c r="H2" s="2"/>
      <c r="I2" s="2"/>
      <c r="J2" s="2"/>
      <c r="K2" s="2"/>
      <c r="L2" s="2"/>
      <c r="M2" s="5"/>
      <c r="N2" s="5"/>
      <c r="O2" s="5"/>
      <c r="P2" s="5"/>
      <c r="Q2" s="5"/>
      <c r="R2" s="5"/>
      <c r="S2" s="5"/>
      <c r="T2" s="6"/>
      <c r="U2" s="6"/>
      <c r="V2" s="6"/>
      <c r="W2" s="6"/>
      <c r="X2" s="6"/>
      <c r="Y2" s="6"/>
      <c r="Z2" s="6"/>
      <c r="AA2" s="6"/>
      <c r="AB2" s="6"/>
    </row>
    <row r="3" ht="16.5" customHeight="1">
      <c r="A3" s="2"/>
      <c r="B3" s="2"/>
      <c r="C3" s="2"/>
      <c r="D3" s="2"/>
      <c r="E3" s="2"/>
      <c r="F3" s="2"/>
      <c r="G3" s="2"/>
      <c r="H3" s="2"/>
      <c r="I3" s="2"/>
      <c r="J3" s="2"/>
      <c r="K3" s="2"/>
      <c r="L3" s="2"/>
      <c r="M3" s="5"/>
      <c r="N3" s="5"/>
      <c r="O3" s="5"/>
      <c r="P3" s="5"/>
      <c r="Q3" s="5"/>
      <c r="R3" s="5"/>
      <c r="S3" s="5"/>
      <c r="T3" s="6"/>
      <c r="U3" s="6"/>
      <c r="V3" s="6"/>
      <c r="W3" s="6"/>
      <c r="X3" s="6"/>
      <c r="Y3" s="6"/>
      <c r="Z3" s="6"/>
      <c r="AA3" s="6"/>
      <c r="AB3" s="6"/>
    </row>
    <row r="4" ht="16.5" customHeight="1">
      <c r="A4" s="2"/>
      <c r="B4" s="2"/>
      <c r="C4" s="2"/>
      <c r="D4" s="2"/>
      <c r="E4" s="2"/>
      <c r="F4" s="2"/>
      <c r="G4" s="2"/>
      <c r="H4" s="2"/>
      <c r="I4" s="2"/>
      <c r="J4" s="2"/>
      <c r="K4" s="2"/>
      <c r="L4" s="2"/>
      <c r="M4" s="5"/>
      <c r="N4" s="5"/>
      <c r="O4" s="5"/>
      <c r="P4" s="5"/>
      <c r="Q4" s="5"/>
      <c r="R4" s="5"/>
      <c r="S4" s="5"/>
      <c r="T4" s="6"/>
      <c r="U4" s="6"/>
      <c r="V4" s="6"/>
      <c r="W4" s="6"/>
      <c r="X4" s="6"/>
      <c r="Y4" s="6"/>
      <c r="Z4" s="6"/>
      <c r="AA4" s="6"/>
      <c r="AB4" s="6"/>
    </row>
    <row r="5" ht="18.0" customHeight="1">
      <c r="A5" s="7" t="s">
        <v>1</v>
      </c>
      <c r="B5" s="9"/>
      <c r="C5" s="9"/>
      <c r="D5" s="9"/>
      <c r="E5" s="9"/>
      <c r="F5" s="9"/>
      <c r="G5" s="7" t="s">
        <v>3</v>
      </c>
      <c r="H5" s="9"/>
      <c r="I5" s="9"/>
      <c r="J5" s="9"/>
      <c r="K5" s="9"/>
      <c r="L5" s="11"/>
      <c r="M5" s="5"/>
      <c r="N5" s="5"/>
      <c r="O5" s="5"/>
      <c r="P5" s="12"/>
      <c r="Q5" s="12"/>
      <c r="R5" s="12"/>
      <c r="S5" s="12"/>
    </row>
    <row r="6" ht="18.0" customHeight="1">
      <c r="A6" s="14">
        <v>1.0</v>
      </c>
      <c r="B6" s="16" t="s">
        <v>8</v>
      </c>
      <c r="C6" s="9"/>
      <c r="D6" s="9"/>
      <c r="E6" s="9"/>
      <c r="F6" s="9"/>
      <c r="G6" s="14">
        <v>1.0</v>
      </c>
      <c r="H6" s="18" t="s">
        <v>9</v>
      </c>
      <c r="I6" s="9"/>
      <c r="J6" s="9"/>
      <c r="K6" s="9"/>
      <c r="L6" s="11"/>
      <c r="M6" s="5"/>
      <c r="N6" s="5"/>
      <c r="O6" s="5"/>
      <c r="P6" s="12"/>
      <c r="Q6" s="12"/>
      <c r="R6" s="12"/>
      <c r="S6" s="12"/>
    </row>
    <row r="7" ht="42.0" customHeight="1">
      <c r="A7" s="20">
        <v>2.0</v>
      </c>
      <c r="B7" s="21" t="s">
        <v>11</v>
      </c>
      <c r="G7" s="20">
        <v>2.0</v>
      </c>
      <c r="H7" s="22" t="s">
        <v>13</v>
      </c>
      <c r="L7" s="25"/>
      <c r="M7" s="5"/>
      <c r="N7" s="5"/>
      <c r="O7" s="5"/>
      <c r="P7" s="12"/>
      <c r="Q7" s="12"/>
      <c r="R7" s="12"/>
      <c r="S7" s="12"/>
    </row>
    <row r="8" ht="18.0" customHeight="1">
      <c r="A8" s="20">
        <v>3.0</v>
      </c>
      <c r="B8" s="21"/>
      <c r="G8" s="20">
        <v>3.0</v>
      </c>
      <c r="H8" s="22" t="s">
        <v>32</v>
      </c>
      <c r="L8" s="25"/>
      <c r="M8" s="5"/>
      <c r="N8" s="5"/>
      <c r="O8" s="5"/>
      <c r="P8" s="12"/>
      <c r="Q8" s="12"/>
      <c r="R8" s="12"/>
      <c r="S8" s="12"/>
    </row>
    <row r="9" ht="18.0" customHeight="1">
      <c r="A9" s="20">
        <v>4.0</v>
      </c>
      <c r="B9" s="21"/>
      <c r="G9" s="20">
        <v>4.0</v>
      </c>
      <c r="H9" s="22" t="s">
        <v>34</v>
      </c>
      <c r="L9" s="25"/>
      <c r="M9" s="5"/>
      <c r="N9" s="5"/>
      <c r="O9" s="5"/>
      <c r="P9" s="12"/>
      <c r="Q9" s="12"/>
      <c r="R9" s="12"/>
      <c r="S9" s="12"/>
    </row>
    <row r="10" ht="18.0" customHeight="1">
      <c r="A10" s="20">
        <v>5.0</v>
      </c>
      <c r="B10" s="21"/>
      <c r="G10" s="20">
        <v>5.0</v>
      </c>
      <c r="H10" s="44" t="s">
        <v>36</v>
      </c>
      <c r="L10" s="25"/>
      <c r="M10" s="5"/>
      <c r="N10" s="5"/>
      <c r="O10" s="5"/>
      <c r="P10" s="12"/>
      <c r="Q10" s="12"/>
      <c r="R10" s="12"/>
      <c r="S10" s="12"/>
    </row>
    <row r="11" ht="18.0" customHeight="1">
      <c r="A11" s="20">
        <v>6.0</v>
      </c>
      <c r="B11" s="21"/>
      <c r="G11" s="20">
        <v>6.0</v>
      </c>
      <c r="H11" s="45"/>
      <c r="L11" s="25"/>
      <c r="M11" s="5"/>
      <c r="N11" s="5"/>
      <c r="O11" s="5"/>
      <c r="P11" s="12"/>
      <c r="Q11" s="12"/>
      <c r="R11" s="12"/>
      <c r="S11" s="12"/>
    </row>
    <row r="12" ht="18.0" customHeight="1">
      <c r="A12" s="20">
        <v>7.0</v>
      </c>
      <c r="B12" s="21"/>
      <c r="G12" s="20">
        <v>7.0</v>
      </c>
      <c r="H12" s="22"/>
      <c r="L12" s="25"/>
      <c r="M12" s="5"/>
      <c r="N12" s="5"/>
      <c r="O12" s="5"/>
      <c r="P12" s="12"/>
      <c r="Q12" s="12"/>
      <c r="R12" s="12"/>
      <c r="S12" s="12"/>
    </row>
    <row r="13" ht="18.0" customHeight="1">
      <c r="A13" s="20">
        <v>8.0</v>
      </c>
      <c r="B13" s="21"/>
      <c r="G13" s="20">
        <v>8.0</v>
      </c>
      <c r="H13" s="46"/>
      <c r="L13" s="25"/>
      <c r="M13" s="5"/>
      <c r="N13" s="5"/>
      <c r="O13" s="5"/>
      <c r="P13" s="12"/>
      <c r="Q13" s="12"/>
      <c r="R13" s="12"/>
      <c r="S13" s="12"/>
    </row>
    <row r="14" ht="18.0" customHeight="1">
      <c r="A14" s="20">
        <v>9.0</v>
      </c>
      <c r="B14" s="21"/>
      <c r="G14" s="20">
        <v>9.0</v>
      </c>
      <c r="H14" s="22"/>
      <c r="L14" s="25"/>
      <c r="M14" s="5"/>
      <c r="N14" s="5"/>
      <c r="O14" s="5"/>
      <c r="P14" s="12"/>
      <c r="Q14" s="12"/>
      <c r="R14" s="12"/>
      <c r="S14" s="12"/>
    </row>
    <row r="15" ht="18.0" customHeight="1">
      <c r="A15" s="20">
        <v>10.0</v>
      </c>
      <c r="B15" s="21"/>
      <c r="G15" s="20">
        <v>10.0</v>
      </c>
      <c r="H15" s="22"/>
      <c r="L15" s="25"/>
      <c r="M15" s="5"/>
      <c r="N15" s="5"/>
      <c r="O15" s="5"/>
      <c r="P15" s="12"/>
      <c r="Q15" s="12"/>
      <c r="R15" s="12"/>
      <c r="S15" s="12"/>
    </row>
    <row r="16" ht="16.5" customHeight="1">
      <c r="A16" s="48" t="s">
        <v>41</v>
      </c>
      <c r="B16" s="9"/>
      <c r="C16" s="9"/>
      <c r="D16" s="9"/>
      <c r="E16" s="9"/>
      <c r="F16" s="9"/>
      <c r="G16" s="51" t="s">
        <v>43</v>
      </c>
      <c r="H16" s="53"/>
      <c r="I16" s="53"/>
      <c r="J16" s="53"/>
      <c r="K16" s="53"/>
      <c r="L16" s="54"/>
      <c r="M16" s="56" t="s">
        <v>25</v>
      </c>
      <c r="N16" s="57" t="s">
        <v>26</v>
      </c>
      <c r="O16" s="57" t="s">
        <v>27</v>
      </c>
      <c r="P16" s="57" t="s">
        <v>28</v>
      </c>
      <c r="Q16" s="57" t="s">
        <v>29</v>
      </c>
      <c r="R16" s="57" t="s">
        <v>30</v>
      </c>
      <c r="S16" s="58" t="s">
        <v>44</v>
      </c>
      <c r="T16" s="6"/>
      <c r="Z16" s="6"/>
      <c r="AA16" s="6"/>
      <c r="AB16" s="6"/>
    </row>
    <row r="17" ht="16.5" customHeight="1">
      <c r="A17" s="14">
        <v>1.0</v>
      </c>
      <c r="B17" s="16"/>
      <c r="C17" s="9"/>
      <c r="D17" s="9"/>
      <c r="E17" s="9"/>
      <c r="F17" s="9"/>
      <c r="G17" s="14">
        <v>1.0</v>
      </c>
      <c r="H17" s="60" t="s">
        <v>46</v>
      </c>
      <c r="I17" s="9"/>
      <c r="J17" s="9"/>
      <c r="K17" s="9"/>
      <c r="L17" s="9"/>
      <c r="M17" s="61" t="s">
        <v>49</v>
      </c>
      <c r="N17" s="62" t="s">
        <v>50</v>
      </c>
      <c r="O17" s="62" t="s">
        <v>51</v>
      </c>
      <c r="P17" s="5"/>
      <c r="Q17" s="63"/>
      <c r="R17" s="62" t="s">
        <v>52</v>
      </c>
      <c r="S17" s="64"/>
      <c r="T17" s="6"/>
      <c r="U17" s="6"/>
      <c r="V17" s="6"/>
      <c r="W17" s="6"/>
      <c r="X17" s="6"/>
      <c r="Y17" s="6"/>
      <c r="Z17" s="6"/>
      <c r="AA17" s="6"/>
      <c r="AB17" s="6"/>
    </row>
    <row r="18" ht="30.75" customHeight="1">
      <c r="A18" s="20">
        <v>2.0</v>
      </c>
      <c r="B18" s="21"/>
      <c r="G18" s="20">
        <v>2.0</v>
      </c>
      <c r="H18" s="66" t="s">
        <v>55</v>
      </c>
      <c r="L18" s="25"/>
      <c r="M18" s="61" t="s">
        <v>49</v>
      </c>
      <c r="N18" s="62" t="s">
        <v>56</v>
      </c>
      <c r="O18" s="68" t="s">
        <v>57</v>
      </c>
      <c r="P18" s="62"/>
      <c r="Q18" s="70"/>
      <c r="R18" s="62">
        <v>1.0</v>
      </c>
      <c r="S18" s="72" t="s">
        <v>58</v>
      </c>
      <c r="T18" s="6"/>
      <c r="U18" s="6"/>
      <c r="V18" s="6"/>
      <c r="W18" s="6"/>
      <c r="X18" s="6"/>
      <c r="Y18" s="6"/>
      <c r="Z18" s="6"/>
      <c r="AA18" s="6"/>
      <c r="AB18" s="6"/>
    </row>
    <row r="19" ht="48.0" customHeight="1">
      <c r="A19" s="20">
        <v>3.0</v>
      </c>
      <c r="B19" s="21"/>
      <c r="G19" s="20">
        <v>3.0</v>
      </c>
      <c r="H19" s="66" t="s">
        <v>59</v>
      </c>
      <c r="L19" s="25"/>
      <c r="M19" s="61" t="s">
        <v>49</v>
      </c>
      <c r="N19" s="62" t="s">
        <v>56</v>
      </c>
      <c r="O19" s="62" t="s">
        <v>60</v>
      </c>
      <c r="P19" s="62"/>
      <c r="Q19" s="70"/>
      <c r="R19" s="62">
        <v>1.0</v>
      </c>
      <c r="S19" s="72" t="s">
        <v>58</v>
      </c>
      <c r="T19" s="6"/>
      <c r="U19" s="6"/>
      <c r="V19" s="6"/>
      <c r="W19" s="6"/>
      <c r="X19" s="6"/>
      <c r="Y19" s="6"/>
      <c r="Z19" s="6"/>
      <c r="AA19" s="6"/>
      <c r="AB19" s="6"/>
    </row>
    <row r="20">
      <c r="A20" s="20">
        <v>4.0</v>
      </c>
      <c r="B20" s="21"/>
      <c r="G20" s="20">
        <v>4.0</v>
      </c>
      <c r="H20" s="66" t="s">
        <v>62</v>
      </c>
      <c r="M20" s="20"/>
      <c r="N20" s="62" t="s">
        <v>56</v>
      </c>
      <c r="O20" s="5"/>
      <c r="P20" s="62" t="s">
        <v>63</v>
      </c>
      <c r="Q20" s="73"/>
      <c r="R20" s="62">
        <v>1.0</v>
      </c>
      <c r="S20" s="72" t="s">
        <v>64</v>
      </c>
      <c r="T20" s="6"/>
      <c r="U20" s="6"/>
      <c r="V20" s="6"/>
      <c r="W20" s="6"/>
      <c r="X20" s="6"/>
      <c r="Y20" s="6"/>
      <c r="Z20" s="6"/>
      <c r="AA20" s="6"/>
      <c r="AB20" s="6"/>
    </row>
    <row r="21" ht="20.25" customHeight="1">
      <c r="A21" s="20">
        <v>5.0</v>
      </c>
      <c r="B21" s="21"/>
      <c r="G21" s="20">
        <v>5.0</v>
      </c>
      <c r="H21" s="66" t="s">
        <v>65</v>
      </c>
      <c r="M21" s="20"/>
      <c r="N21" s="5"/>
      <c r="O21" s="62" t="s">
        <v>66</v>
      </c>
      <c r="P21" s="5"/>
      <c r="Q21" s="63"/>
      <c r="R21" s="62">
        <v>1.0</v>
      </c>
      <c r="S21" s="72" t="s">
        <v>58</v>
      </c>
      <c r="T21" s="6"/>
      <c r="U21" s="6"/>
      <c r="V21" s="6"/>
      <c r="W21" s="6"/>
      <c r="X21" s="6"/>
      <c r="Y21" s="6"/>
      <c r="Z21" s="6"/>
      <c r="AA21" s="6"/>
      <c r="AB21" s="6"/>
    </row>
    <row r="22" ht="16.5" customHeight="1">
      <c r="A22" s="20">
        <v>6.0</v>
      </c>
      <c r="B22" s="21"/>
      <c r="G22" s="20">
        <v>6.0</v>
      </c>
      <c r="H22" s="66" t="s">
        <v>67</v>
      </c>
      <c r="L22" s="25"/>
      <c r="M22" s="20"/>
      <c r="N22" s="5"/>
      <c r="O22" s="62" t="s">
        <v>68</v>
      </c>
      <c r="P22" s="5"/>
      <c r="Q22" s="5"/>
      <c r="R22" s="62">
        <v>1.0</v>
      </c>
      <c r="S22" s="64"/>
      <c r="T22" s="6"/>
      <c r="U22" s="6"/>
      <c r="V22" s="6"/>
      <c r="W22" s="6"/>
      <c r="X22" s="6"/>
      <c r="Y22" s="6"/>
      <c r="Z22" s="6"/>
      <c r="AA22" s="6"/>
      <c r="AB22" s="6"/>
    </row>
    <row r="23" ht="16.5" customHeight="1">
      <c r="A23" s="20">
        <v>7.0</v>
      </c>
      <c r="B23" s="21"/>
      <c r="G23" s="20">
        <v>7.0</v>
      </c>
      <c r="H23" s="22"/>
      <c r="L23" s="25"/>
      <c r="M23" s="20"/>
      <c r="N23" s="5"/>
      <c r="O23" s="5"/>
      <c r="P23" s="5"/>
      <c r="Q23" s="5"/>
      <c r="R23" s="5"/>
      <c r="S23" s="64"/>
      <c r="T23" s="6"/>
      <c r="U23" s="6"/>
      <c r="V23" s="6"/>
      <c r="W23" s="6"/>
      <c r="X23" s="6"/>
      <c r="Y23" s="6"/>
      <c r="Z23" s="6"/>
      <c r="AA23" s="6"/>
      <c r="AB23" s="6"/>
    </row>
    <row r="24" ht="16.5" customHeight="1">
      <c r="A24" s="20">
        <v>8.0</v>
      </c>
      <c r="B24" s="21"/>
      <c r="G24" s="20">
        <v>8.0</v>
      </c>
      <c r="H24" s="22"/>
      <c r="L24" s="25"/>
      <c r="M24" s="20"/>
      <c r="N24" s="5"/>
      <c r="O24" s="5"/>
      <c r="P24" s="5"/>
      <c r="Q24" s="5"/>
      <c r="R24" s="5"/>
      <c r="S24" s="64"/>
      <c r="T24" s="6"/>
      <c r="U24" s="6"/>
      <c r="V24" s="6"/>
      <c r="W24" s="6"/>
      <c r="X24" s="6"/>
      <c r="Y24" s="6"/>
      <c r="Z24" s="6"/>
      <c r="AA24" s="6"/>
      <c r="AB24" s="6"/>
    </row>
    <row r="25" ht="16.5" customHeight="1">
      <c r="A25" s="20">
        <v>9.0</v>
      </c>
      <c r="B25" s="21"/>
      <c r="G25" s="20">
        <v>9.0</v>
      </c>
      <c r="H25" s="22"/>
      <c r="M25" s="20"/>
      <c r="N25" s="5"/>
      <c r="O25" s="5"/>
      <c r="P25" s="5"/>
      <c r="Q25" s="5"/>
      <c r="R25" s="5"/>
      <c r="S25" s="64"/>
      <c r="T25" s="6"/>
      <c r="U25" s="6"/>
      <c r="V25" s="6"/>
      <c r="W25" s="6"/>
      <c r="X25" s="6"/>
      <c r="Y25" s="6"/>
      <c r="Z25" s="6"/>
      <c r="AA25" s="6"/>
      <c r="AB25" s="6"/>
    </row>
    <row r="26" ht="16.5" customHeight="1">
      <c r="A26" s="20">
        <v>10.0</v>
      </c>
      <c r="B26" s="21"/>
      <c r="G26" s="20">
        <v>10.0</v>
      </c>
      <c r="H26" s="22"/>
      <c r="M26" s="20"/>
      <c r="N26" s="5"/>
      <c r="O26" s="5"/>
      <c r="P26" s="5"/>
      <c r="Q26" s="5"/>
      <c r="R26" s="5"/>
      <c r="S26" s="64"/>
      <c r="T26" s="6"/>
      <c r="U26" s="6"/>
      <c r="V26" s="6"/>
      <c r="W26" s="6"/>
      <c r="X26" s="6"/>
      <c r="Y26" s="6"/>
      <c r="Z26" s="6"/>
      <c r="AA26" s="6"/>
      <c r="AB26" s="6"/>
    </row>
    <row r="27" ht="16.5" customHeight="1">
      <c r="A27" s="20">
        <v>11.0</v>
      </c>
      <c r="B27" s="21"/>
      <c r="G27" s="20">
        <v>11.0</v>
      </c>
      <c r="H27" s="22"/>
      <c r="M27" s="20"/>
      <c r="N27" s="5"/>
      <c r="O27" s="5"/>
      <c r="P27" s="5"/>
      <c r="Q27" s="5"/>
      <c r="R27" s="5"/>
      <c r="S27" s="64"/>
      <c r="T27" s="6"/>
      <c r="U27" s="6"/>
      <c r="V27" s="6"/>
      <c r="W27" s="6"/>
      <c r="X27" s="6"/>
      <c r="Y27" s="6"/>
      <c r="Z27" s="6"/>
      <c r="AA27" s="6"/>
      <c r="AB27" s="6"/>
    </row>
    <row r="28" ht="16.5" customHeight="1">
      <c r="A28" s="20">
        <v>12.0</v>
      </c>
      <c r="B28" s="21"/>
      <c r="G28" s="20">
        <v>12.0</v>
      </c>
      <c r="H28" s="22"/>
      <c r="M28" s="20"/>
      <c r="N28" s="5"/>
      <c r="O28" s="5"/>
      <c r="P28" s="5"/>
      <c r="Q28" s="5"/>
      <c r="R28" s="5"/>
      <c r="S28" s="64"/>
      <c r="T28" s="6"/>
      <c r="U28" s="6"/>
      <c r="V28" s="6"/>
      <c r="W28" s="6"/>
      <c r="X28" s="6"/>
      <c r="Y28" s="6"/>
      <c r="Z28" s="6"/>
      <c r="AA28" s="6"/>
      <c r="AB28" s="6"/>
    </row>
    <row r="29" ht="16.5" customHeight="1">
      <c r="A29" s="20">
        <v>13.0</v>
      </c>
      <c r="B29" s="21"/>
      <c r="G29" s="20">
        <v>13.0</v>
      </c>
      <c r="H29" s="22"/>
      <c r="M29" s="20"/>
      <c r="N29" s="5"/>
      <c r="O29" s="5"/>
      <c r="P29" s="5"/>
      <c r="Q29" s="5"/>
      <c r="R29" s="5"/>
      <c r="S29" s="64"/>
      <c r="T29" s="6"/>
      <c r="U29" s="6"/>
      <c r="AA29" s="6"/>
      <c r="AB29" s="6"/>
    </row>
    <row r="30" ht="16.5" customHeight="1">
      <c r="A30" s="20">
        <v>14.0</v>
      </c>
      <c r="B30" s="21"/>
      <c r="G30" s="20">
        <v>14.0</v>
      </c>
      <c r="H30" s="22"/>
      <c r="M30" s="20"/>
      <c r="N30" s="5"/>
      <c r="O30" s="5"/>
      <c r="P30" s="5"/>
      <c r="Q30" s="5"/>
      <c r="R30" s="5"/>
      <c r="S30" s="64"/>
      <c r="T30" s="6"/>
      <c r="U30" s="6"/>
      <c r="AA30" s="6"/>
      <c r="AB30" s="6"/>
    </row>
    <row r="31" ht="16.5" customHeight="1">
      <c r="A31" s="80">
        <v>15.0</v>
      </c>
      <c r="B31" s="83"/>
      <c r="C31" s="84"/>
      <c r="D31" s="84"/>
      <c r="E31" s="84"/>
      <c r="F31" s="84"/>
      <c r="G31" s="20">
        <v>15.0</v>
      </c>
      <c r="H31" s="22"/>
      <c r="M31" s="20"/>
      <c r="N31" s="5"/>
      <c r="O31" s="5"/>
      <c r="P31" s="5"/>
      <c r="Q31" s="5"/>
      <c r="R31" s="5"/>
      <c r="S31" s="64"/>
      <c r="T31" s="6"/>
      <c r="U31" s="6"/>
      <c r="AA31" s="6"/>
      <c r="AB31" s="6"/>
    </row>
    <row r="32" ht="50.25" customHeight="1">
      <c r="A32" s="5"/>
      <c r="B32" s="5"/>
      <c r="C32" s="5"/>
      <c r="D32" s="5"/>
      <c r="E32" s="5"/>
      <c r="F32" s="5"/>
      <c r="G32" s="89" t="s">
        <v>79</v>
      </c>
      <c r="H32" s="53"/>
      <c r="I32" s="53"/>
      <c r="J32" s="53"/>
      <c r="K32" s="53"/>
      <c r="L32" s="53"/>
      <c r="M32" s="53"/>
      <c r="N32" s="53"/>
      <c r="O32" s="53"/>
      <c r="P32" s="53"/>
      <c r="Q32" s="53"/>
      <c r="R32" s="53"/>
      <c r="S32" s="54"/>
      <c r="T32" s="6"/>
      <c r="U32" s="6"/>
      <c r="AA32" s="6"/>
      <c r="AB32" s="6"/>
    </row>
    <row r="33" ht="16.5" customHeight="1">
      <c r="A33" s="6"/>
      <c r="B33" s="6"/>
      <c r="C33" s="6"/>
      <c r="D33" s="6"/>
      <c r="E33" s="6"/>
      <c r="F33" s="6"/>
      <c r="G33" s="6"/>
      <c r="H33" s="93"/>
      <c r="I33" s="93"/>
      <c r="J33" s="93"/>
      <c r="K33" s="93"/>
      <c r="L33" s="93"/>
      <c r="M33" s="6"/>
      <c r="N33" s="6"/>
      <c r="O33" s="6"/>
      <c r="P33" s="6"/>
      <c r="Q33" s="94"/>
      <c r="R33" s="6"/>
      <c r="S33" s="6"/>
      <c r="T33" s="6"/>
      <c r="U33" s="6"/>
      <c r="AA33" s="6"/>
      <c r="AB33" s="6"/>
    </row>
    <row r="34" ht="16.5" customHeight="1">
      <c r="A34" s="6"/>
      <c r="B34" s="6"/>
      <c r="C34" s="6"/>
      <c r="D34" s="6"/>
      <c r="E34" s="6"/>
      <c r="F34" s="6"/>
      <c r="G34" s="6"/>
      <c r="H34" s="93"/>
      <c r="I34" s="93"/>
      <c r="J34" s="93"/>
      <c r="K34" s="93"/>
      <c r="L34" s="93"/>
      <c r="M34" s="6"/>
      <c r="N34" s="6"/>
      <c r="O34" s="6"/>
      <c r="P34" s="6"/>
      <c r="Q34" s="6"/>
      <c r="R34" s="6"/>
      <c r="S34" s="6"/>
      <c r="T34" s="6"/>
      <c r="U34" s="6"/>
      <c r="AA34" s="6"/>
      <c r="AB34" s="6"/>
    </row>
    <row r="35" ht="16.5" customHeight="1">
      <c r="A35" s="6"/>
      <c r="B35" s="6"/>
      <c r="C35" s="6"/>
      <c r="D35" s="6"/>
      <c r="E35" s="6"/>
      <c r="F35" s="6"/>
      <c r="G35" s="6"/>
      <c r="H35" s="93"/>
      <c r="I35" s="93"/>
      <c r="J35" s="93"/>
      <c r="K35" s="93"/>
      <c r="L35" s="93"/>
      <c r="M35" s="6"/>
      <c r="N35" s="6"/>
      <c r="O35" s="6"/>
      <c r="P35" s="6"/>
      <c r="Q35" s="6"/>
      <c r="R35" s="94"/>
      <c r="S35" s="6"/>
      <c r="T35" s="6"/>
      <c r="U35" s="6"/>
      <c r="AA35" s="6"/>
      <c r="AB35" s="6"/>
    </row>
    <row r="36" ht="16.5" customHeight="1">
      <c r="A36" s="6"/>
      <c r="B36" s="6"/>
      <c r="C36" s="6"/>
      <c r="D36" s="6"/>
      <c r="E36" s="6"/>
      <c r="F36" s="6"/>
      <c r="G36" s="6"/>
      <c r="H36" s="93"/>
      <c r="I36" s="93"/>
      <c r="J36" s="93"/>
      <c r="K36" s="93"/>
      <c r="L36" s="93"/>
      <c r="M36" s="6"/>
      <c r="N36" s="6"/>
      <c r="O36" s="6"/>
      <c r="P36" s="6"/>
      <c r="Q36" s="6"/>
      <c r="R36" s="6"/>
      <c r="S36" s="6"/>
      <c r="T36" s="6"/>
      <c r="U36" s="6"/>
      <c r="AA36" s="6"/>
      <c r="AB36" s="6"/>
    </row>
    <row r="37" ht="16.5" customHeight="1">
      <c r="A37" s="6"/>
      <c r="B37" s="6"/>
      <c r="C37" s="6"/>
      <c r="D37" s="6"/>
      <c r="E37" s="6"/>
      <c r="F37" s="6"/>
      <c r="G37" s="6"/>
      <c r="H37" s="93"/>
      <c r="I37" s="93"/>
      <c r="J37" s="93"/>
      <c r="K37" s="93"/>
      <c r="L37" s="93"/>
      <c r="M37" s="6"/>
      <c r="N37" s="6"/>
      <c r="O37" s="6"/>
      <c r="P37" s="6"/>
      <c r="V37" s="6"/>
      <c r="W37" s="6"/>
      <c r="X37" s="6"/>
      <c r="Y37" s="6"/>
      <c r="Z37" s="6"/>
      <c r="AA37" s="6"/>
      <c r="AB37" s="6"/>
    </row>
    <row r="38" ht="16.5" customHeight="1">
      <c r="A38" s="6"/>
      <c r="B38" s="6"/>
      <c r="C38" s="6"/>
      <c r="D38" s="6"/>
      <c r="E38" s="6"/>
      <c r="F38" s="6"/>
      <c r="G38" s="6"/>
      <c r="H38" s="93"/>
      <c r="I38" s="93"/>
      <c r="J38" s="93"/>
      <c r="K38" s="93"/>
      <c r="L38" s="93"/>
      <c r="M38" s="6"/>
      <c r="N38" s="6"/>
      <c r="O38" s="6"/>
      <c r="P38" s="6"/>
      <c r="V38" s="6"/>
      <c r="W38" s="6"/>
      <c r="X38" s="6"/>
      <c r="Y38" s="6"/>
      <c r="Z38" s="6"/>
      <c r="AA38" s="6"/>
      <c r="AB38" s="6"/>
    </row>
    <row r="39" ht="16.5" customHeight="1">
      <c r="A39" s="6"/>
      <c r="B39" s="6"/>
      <c r="C39" s="6"/>
      <c r="D39" s="6"/>
      <c r="E39" s="6"/>
      <c r="F39" s="6"/>
      <c r="G39" s="6"/>
      <c r="H39" s="93"/>
      <c r="I39" s="93"/>
      <c r="J39" s="93"/>
      <c r="K39" s="93"/>
      <c r="V39" s="6"/>
      <c r="W39" s="6"/>
      <c r="X39" s="6"/>
      <c r="Y39" s="6"/>
      <c r="Z39" s="6"/>
      <c r="AA39" s="6"/>
      <c r="AB39" s="6"/>
    </row>
    <row r="40" ht="16.5" customHeight="1">
      <c r="A40" s="6"/>
      <c r="B40" s="6"/>
      <c r="C40" s="6"/>
      <c r="D40" s="6"/>
      <c r="E40" s="6"/>
      <c r="F40" s="6"/>
      <c r="G40" s="6"/>
      <c r="H40" s="93"/>
      <c r="I40" s="93"/>
      <c r="J40" s="93"/>
      <c r="K40" s="93"/>
      <c r="V40" s="6"/>
      <c r="W40" s="6"/>
      <c r="X40" s="6"/>
      <c r="Y40" s="6"/>
      <c r="Z40" s="6"/>
      <c r="AA40" s="6"/>
      <c r="AB40" s="6"/>
    </row>
    <row r="41" ht="16.5" customHeight="1">
      <c r="A41" s="6"/>
      <c r="B41" s="6"/>
      <c r="C41" s="6"/>
      <c r="D41" s="6"/>
      <c r="E41" s="6"/>
      <c r="F41" s="6"/>
      <c r="G41" s="6"/>
      <c r="H41" s="93"/>
      <c r="I41" s="93"/>
      <c r="J41" s="93"/>
      <c r="K41" s="93"/>
      <c r="V41" s="6"/>
      <c r="W41" s="6"/>
      <c r="X41" s="6"/>
      <c r="Y41" s="6"/>
      <c r="Z41" s="6"/>
      <c r="AA41" s="6"/>
      <c r="AB41" s="6"/>
    </row>
    <row r="42" ht="16.5" customHeight="1">
      <c r="A42" s="6"/>
      <c r="B42" s="6"/>
      <c r="C42" s="6"/>
      <c r="D42" s="6"/>
      <c r="E42" s="6"/>
      <c r="F42" s="6"/>
      <c r="G42" s="6"/>
      <c r="H42" s="93"/>
      <c r="I42" s="93"/>
      <c r="J42" s="93"/>
      <c r="K42" s="93"/>
      <c r="V42" s="6"/>
      <c r="W42" s="6"/>
      <c r="X42" s="6"/>
      <c r="Y42" s="6"/>
      <c r="Z42" s="6"/>
      <c r="AA42" s="6"/>
      <c r="AB42" s="6"/>
    </row>
    <row r="43" ht="16.5" customHeight="1">
      <c r="A43" s="6"/>
      <c r="B43" s="6"/>
      <c r="C43" s="6"/>
      <c r="D43" s="6"/>
      <c r="E43" s="6"/>
      <c r="F43" s="6"/>
      <c r="G43" s="6"/>
      <c r="H43" s="93"/>
      <c r="I43" s="93"/>
      <c r="J43" s="93"/>
      <c r="K43" s="93"/>
      <c r="V43" s="6"/>
      <c r="W43" s="6"/>
      <c r="X43" s="6"/>
      <c r="Y43" s="6"/>
      <c r="Z43" s="6"/>
      <c r="AA43" s="6"/>
      <c r="AB43" s="6"/>
    </row>
    <row r="44" ht="16.5" customHeight="1">
      <c r="A44" s="6"/>
      <c r="B44" s="6"/>
      <c r="C44" s="6"/>
      <c r="D44" s="6"/>
      <c r="E44" s="6"/>
      <c r="F44" s="6"/>
      <c r="G44" s="6"/>
      <c r="H44" s="93"/>
      <c r="I44" s="93"/>
      <c r="J44" s="93"/>
      <c r="K44" s="93"/>
      <c r="V44" s="6"/>
      <c r="W44" s="6"/>
      <c r="X44" s="6"/>
      <c r="Y44" s="6"/>
      <c r="Z44" s="6"/>
      <c r="AA44" s="6"/>
      <c r="AB44" s="6"/>
    </row>
    <row r="45" ht="16.5" customHeight="1">
      <c r="A45" s="6"/>
      <c r="B45" s="6"/>
      <c r="C45" s="6"/>
      <c r="D45" s="6"/>
      <c r="E45" s="6"/>
      <c r="F45" s="6"/>
      <c r="G45" s="6"/>
      <c r="H45" s="93"/>
      <c r="I45" s="93"/>
      <c r="J45" s="93"/>
      <c r="K45" s="93"/>
      <c r="V45" s="6"/>
      <c r="W45" s="6"/>
      <c r="X45" s="6"/>
      <c r="Y45" s="6"/>
      <c r="Z45" s="6"/>
      <c r="AA45" s="6"/>
      <c r="AB45" s="6"/>
    </row>
    <row r="46" ht="16.5" customHeight="1">
      <c r="A46" s="6"/>
      <c r="B46" s="6"/>
      <c r="C46" s="6"/>
      <c r="D46" s="6"/>
      <c r="E46" s="6"/>
      <c r="F46" s="6"/>
      <c r="G46" s="6"/>
      <c r="H46" s="93"/>
      <c r="I46" s="93"/>
      <c r="J46" s="93"/>
      <c r="K46" s="93"/>
      <c r="V46" s="6"/>
      <c r="W46" s="6"/>
      <c r="X46" s="6"/>
      <c r="Y46" s="6"/>
      <c r="Z46" s="6"/>
      <c r="AA46" s="6"/>
      <c r="AB46" s="6"/>
    </row>
    <row r="47" ht="16.5" customHeight="1">
      <c r="A47" s="6"/>
      <c r="B47" s="6"/>
      <c r="C47" s="6"/>
      <c r="D47" s="6"/>
      <c r="E47" s="6"/>
      <c r="F47" s="6"/>
      <c r="G47" s="6"/>
      <c r="H47" s="93"/>
      <c r="I47" s="93"/>
      <c r="J47" s="93"/>
      <c r="K47" s="93"/>
      <c r="L47" s="93"/>
      <c r="M47" s="6"/>
      <c r="N47" s="6"/>
      <c r="O47" s="6"/>
      <c r="P47" s="6"/>
      <c r="V47" s="6"/>
      <c r="W47" s="6"/>
      <c r="X47" s="6"/>
      <c r="Y47" s="6"/>
      <c r="Z47" s="6"/>
      <c r="AA47" s="6"/>
      <c r="AB47" s="6"/>
    </row>
    <row r="48" ht="16.5" customHeight="1">
      <c r="A48" s="6"/>
      <c r="B48" s="6"/>
      <c r="C48" s="6"/>
      <c r="D48" s="6"/>
      <c r="E48" s="6"/>
      <c r="F48" s="6"/>
      <c r="G48" s="6"/>
      <c r="H48" s="93"/>
      <c r="I48" s="93"/>
      <c r="J48" s="93"/>
      <c r="K48" s="93"/>
      <c r="L48" s="93"/>
      <c r="M48" s="6"/>
      <c r="N48" s="6"/>
      <c r="O48" s="6"/>
      <c r="P48" s="6"/>
      <c r="V48" s="6"/>
      <c r="W48" s="6"/>
      <c r="X48" s="6"/>
      <c r="Y48" s="6"/>
      <c r="Z48" s="6"/>
      <c r="AA48" s="6"/>
      <c r="AB48" s="6"/>
    </row>
    <row r="49" ht="16.5" customHeight="1">
      <c r="A49" s="6"/>
      <c r="B49" s="6"/>
      <c r="C49" s="6"/>
      <c r="D49" s="6"/>
      <c r="E49" s="6"/>
      <c r="F49" s="6"/>
      <c r="G49" s="6"/>
      <c r="H49" s="93"/>
      <c r="I49" s="93"/>
      <c r="J49" s="93"/>
      <c r="K49" s="93"/>
      <c r="L49" s="93"/>
      <c r="M49" s="6"/>
      <c r="N49" s="6"/>
      <c r="O49" s="6"/>
      <c r="P49" s="6"/>
      <c r="V49" s="6"/>
      <c r="W49" s="6"/>
      <c r="X49" s="6"/>
      <c r="Y49" s="6"/>
      <c r="Z49" s="6"/>
      <c r="AA49" s="6"/>
      <c r="AB49" s="6"/>
    </row>
    <row r="50" ht="16.5" customHeight="1">
      <c r="A50" s="6"/>
      <c r="B50" s="6"/>
      <c r="C50" s="6"/>
      <c r="D50" s="6"/>
      <c r="E50" s="6"/>
      <c r="F50" s="6"/>
      <c r="G50" s="6"/>
      <c r="H50" s="93"/>
      <c r="I50" s="93"/>
      <c r="J50" s="93"/>
      <c r="K50" s="93"/>
      <c r="L50" s="93"/>
      <c r="M50" s="6"/>
      <c r="N50" s="6"/>
      <c r="O50" s="6"/>
      <c r="P50" s="6"/>
      <c r="V50" s="6"/>
      <c r="W50" s="6"/>
      <c r="X50" s="6"/>
      <c r="Y50" s="6"/>
      <c r="Z50" s="6"/>
      <c r="AA50" s="6"/>
      <c r="AB50" s="6"/>
    </row>
    <row r="51" ht="16.5" customHeight="1">
      <c r="A51" s="6"/>
      <c r="B51" s="6"/>
      <c r="C51" s="6"/>
      <c r="D51" s="6"/>
      <c r="E51" s="6"/>
      <c r="F51" s="6"/>
      <c r="G51" s="6"/>
      <c r="H51" s="93"/>
      <c r="I51" s="93"/>
      <c r="J51" s="93"/>
      <c r="K51" s="93"/>
      <c r="L51" s="93"/>
      <c r="M51" s="6"/>
      <c r="N51" s="6"/>
      <c r="O51" s="6"/>
      <c r="P51" s="6"/>
      <c r="V51" s="6"/>
      <c r="W51" s="6"/>
      <c r="X51" s="6"/>
      <c r="Y51" s="6"/>
      <c r="Z51" s="6"/>
      <c r="AA51" s="6"/>
      <c r="AB51" s="6"/>
    </row>
    <row r="52" ht="16.5" customHeight="1">
      <c r="A52" s="6"/>
      <c r="B52" s="6"/>
      <c r="C52" s="6"/>
      <c r="D52" s="6"/>
      <c r="E52" s="6"/>
      <c r="F52" s="6"/>
      <c r="G52" s="6"/>
      <c r="H52" s="93"/>
      <c r="I52" s="93"/>
      <c r="J52" s="93"/>
      <c r="K52" s="93"/>
      <c r="L52" s="93"/>
      <c r="M52" s="6"/>
      <c r="N52" s="6"/>
      <c r="O52" s="6"/>
      <c r="P52" s="6"/>
      <c r="V52" s="6"/>
      <c r="W52" s="6"/>
      <c r="X52" s="6"/>
      <c r="Y52" s="6"/>
      <c r="Z52" s="6"/>
      <c r="AA52" s="6"/>
      <c r="AB52" s="6"/>
    </row>
    <row r="53" ht="16.5" customHeight="1">
      <c r="A53" s="6"/>
      <c r="B53" s="6"/>
      <c r="C53" s="6"/>
      <c r="D53" s="6"/>
      <c r="E53" s="6"/>
      <c r="F53" s="6"/>
      <c r="G53" s="6"/>
      <c r="H53" s="93"/>
      <c r="I53" s="93"/>
      <c r="J53" s="93"/>
      <c r="K53" s="93"/>
      <c r="L53" s="93"/>
      <c r="M53" s="6"/>
      <c r="N53" s="6"/>
      <c r="O53" s="6"/>
      <c r="P53" s="6"/>
      <c r="Q53" s="6"/>
      <c r="R53" s="6"/>
      <c r="S53" s="6"/>
      <c r="T53" s="6"/>
      <c r="U53" s="6"/>
      <c r="V53" s="6"/>
      <c r="W53" s="6"/>
      <c r="X53" s="6"/>
      <c r="Y53" s="6"/>
      <c r="Z53" s="6"/>
      <c r="AA53" s="6"/>
      <c r="AB53" s="6"/>
    </row>
    <row r="54" ht="16.5" customHeight="1">
      <c r="A54" s="6"/>
      <c r="B54" s="6"/>
      <c r="C54" s="6"/>
      <c r="D54" s="6"/>
      <c r="E54" s="6"/>
      <c r="F54" s="6"/>
      <c r="G54" s="6"/>
      <c r="H54" s="93"/>
      <c r="I54" s="93"/>
      <c r="J54" s="93"/>
      <c r="K54" s="93"/>
      <c r="L54" s="93"/>
      <c r="M54" s="6"/>
      <c r="N54" s="6"/>
      <c r="O54" s="6"/>
      <c r="P54" s="6"/>
      <c r="Q54" s="6"/>
      <c r="R54" s="6"/>
      <c r="S54" s="6"/>
      <c r="T54" s="6"/>
      <c r="U54" s="6"/>
      <c r="V54" s="6"/>
      <c r="W54" s="6"/>
      <c r="X54" s="6"/>
      <c r="Y54" s="6"/>
      <c r="Z54" s="6"/>
      <c r="AA54" s="6"/>
      <c r="AB54" s="6"/>
    </row>
    <row r="55" ht="16.5" customHeight="1">
      <c r="A55" s="6"/>
      <c r="B55" s="6"/>
      <c r="C55" s="6"/>
      <c r="D55" s="6"/>
      <c r="E55" s="6"/>
      <c r="F55" s="6"/>
      <c r="G55" s="6"/>
      <c r="H55" s="93"/>
      <c r="I55" s="93"/>
      <c r="J55" s="93"/>
      <c r="K55" s="93"/>
      <c r="L55" s="93"/>
      <c r="M55" s="6"/>
      <c r="N55" s="6"/>
      <c r="O55" s="6"/>
      <c r="P55" s="6"/>
      <c r="Q55" s="6"/>
      <c r="R55" s="6"/>
      <c r="S55" s="6"/>
      <c r="T55" s="6"/>
      <c r="U55" s="6"/>
      <c r="V55" s="6"/>
      <c r="W55" s="6"/>
      <c r="X55" s="6"/>
      <c r="Y55" s="6"/>
      <c r="Z55" s="6"/>
      <c r="AA55" s="6"/>
      <c r="AB55" s="6"/>
    </row>
    <row r="56" ht="16.5" customHeight="1">
      <c r="A56" s="6"/>
      <c r="B56" s="6"/>
      <c r="C56" s="6"/>
      <c r="D56" s="6"/>
      <c r="E56" s="6"/>
      <c r="F56" s="6"/>
      <c r="G56" s="6"/>
      <c r="H56" s="93"/>
      <c r="I56" s="93"/>
      <c r="J56" s="93"/>
      <c r="K56" s="93"/>
      <c r="L56" s="93"/>
      <c r="M56" s="6"/>
      <c r="N56" s="6"/>
      <c r="O56" s="6"/>
      <c r="P56" s="6"/>
      <c r="Q56" s="6"/>
      <c r="R56" s="6"/>
      <c r="S56" s="6"/>
      <c r="T56" s="6"/>
      <c r="U56" s="6"/>
      <c r="V56" s="6"/>
      <c r="W56" s="6"/>
      <c r="X56" s="6"/>
      <c r="Y56" s="6"/>
      <c r="Z56" s="6"/>
      <c r="AA56" s="6"/>
      <c r="AB56" s="6"/>
    </row>
    <row r="57" ht="16.5" customHeight="1">
      <c r="A57" s="6"/>
      <c r="B57" s="6"/>
      <c r="C57" s="6"/>
      <c r="D57" s="6"/>
      <c r="E57" s="6"/>
      <c r="F57" s="6"/>
      <c r="G57" s="6"/>
      <c r="H57" s="93"/>
      <c r="I57" s="93"/>
      <c r="J57" s="93"/>
      <c r="K57" s="93"/>
      <c r="L57" s="93"/>
      <c r="M57" s="6"/>
      <c r="N57" s="6"/>
      <c r="O57" s="6"/>
      <c r="P57" s="6"/>
      <c r="Q57" s="6"/>
      <c r="R57" s="6"/>
      <c r="S57" s="6"/>
      <c r="T57" s="6"/>
      <c r="U57" s="6"/>
      <c r="V57" s="6"/>
      <c r="W57" s="6"/>
      <c r="X57" s="6"/>
      <c r="Y57" s="6"/>
      <c r="Z57" s="6"/>
      <c r="AA57" s="6"/>
      <c r="AB57" s="6"/>
    </row>
    <row r="58" ht="16.5" customHeight="1">
      <c r="A58" s="6"/>
      <c r="B58" s="6"/>
      <c r="C58" s="6"/>
      <c r="D58" s="6"/>
      <c r="E58" s="6"/>
      <c r="F58" s="6"/>
      <c r="G58" s="6"/>
      <c r="H58" s="93"/>
      <c r="I58" s="93"/>
      <c r="J58" s="93"/>
      <c r="K58" s="93"/>
      <c r="L58" s="93"/>
      <c r="M58" s="6"/>
      <c r="N58" s="6"/>
      <c r="O58" s="6"/>
      <c r="P58" s="6"/>
      <c r="Q58" s="6"/>
      <c r="R58" s="6"/>
      <c r="S58" s="6"/>
      <c r="T58" s="6"/>
      <c r="U58" s="6"/>
      <c r="V58" s="6"/>
      <c r="W58" s="6"/>
      <c r="X58" s="6"/>
      <c r="Y58" s="6"/>
      <c r="Z58" s="6"/>
      <c r="AA58" s="6"/>
      <c r="AB58" s="6"/>
    </row>
    <row r="59" ht="16.5" customHeight="1">
      <c r="A59" s="6"/>
      <c r="B59" s="6"/>
      <c r="C59" s="6"/>
      <c r="D59" s="6"/>
      <c r="E59" s="6"/>
      <c r="F59" s="6"/>
      <c r="G59" s="6"/>
      <c r="H59" s="93"/>
      <c r="I59" s="93"/>
      <c r="J59" s="93"/>
      <c r="K59" s="93"/>
      <c r="L59" s="93"/>
      <c r="M59" s="6"/>
      <c r="N59" s="6"/>
      <c r="O59" s="6"/>
      <c r="P59" s="6"/>
      <c r="Q59" s="6"/>
      <c r="R59" s="6"/>
      <c r="S59" s="6"/>
      <c r="T59" s="6"/>
      <c r="U59" s="6"/>
      <c r="V59" s="6"/>
      <c r="W59" s="6"/>
      <c r="X59" s="6"/>
      <c r="Y59" s="6"/>
      <c r="Z59" s="6"/>
      <c r="AA59" s="6"/>
      <c r="AB59" s="6"/>
    </row>
    <row r="60" ht="16.5" customHeight="1">
      <c r="A60" s="6"/>
      <c r="B60" s="6"/>
      <c r="C60" s="6"/>
      <c r="D60" s="6"/>
      <c r="E60" s="6"/>
      <c r="F60" s="6"/>
      <c r="G60" s="6"/>
      <c r="H60" s="93"/>
      <c r="I60" s="93"/>
      <c r="J60" s="93"/>
      <c r="K60" s="93"/>
      <c r="L60" s="93"/>
      <c r="M60" s="6"/>
      <c r="N60" s="6"/>
      <c r="O60" s="6"/>
      <c r="P60" s="6"/>
      <c r="Q60" s="6"/>
      <c r="R60" s="6"/>
      <c r="S60" s="6"/>
      <c r="T60" s="6"/>
      <c r="U60" s="6"/>
      <c r="V60" s="6"/>
      <c r="W60" s="6"/>
      <c r="X60" s="6"/>
      <c r="Y60" s="6"/>
      <c r="Z60" s="6"/>
      <c r="AA60" s="6"/>
      <c r="AB60" s="6"/>
    </row>
    <row r="61" ht="16.5" customHeight="1">
      <c r="A61" s="6"/>
      <c r="B61" s="6"/>
      <c r="C61" s="6"/>
      <c r="D61" s="6"/>
      <c r="E61" s="6"/>
      <c r="F61" s="6"/>
      <c r="G61" s="6"/>
      <c r="H61" s="93"/>
      <c r="I61" s="93"/>
      <c r="J61" s="93"/>
      <c r="K61" s="93"/>
      <c r="L61" s="93"/>
      <c r="M61" s="6"/>
      <c r="N61" s="6"/>
      <c r="O61" s="6"/>
      <c r="P61" s="6"/>
      <c r="Q61" s="6"/>
      <c r="R61" s="6"/>
      <c r="S61" s="6"/>
      <c r="T61" s="6"/>
      <c r="U61" s="6"/>
      <c r="V61" s="6"/>
      <c r="W61" s="6"/>
      <c r="X61" s="6"/>
      <c r="Y61" s="6"/>
      <c r="Z61" s="6"/>
      <c r="AA61" s="6"/>
      <c r="AB61" s="6"/>
    </row>
    <row r="62" ht="16.5" customHeight="1">
      <c r="A62" s="6"/>
      <c r="B62" s="6"/>
      <c r="C62" s="6"/>
      <c r="D62" s="6"/>
      <c r="E62" s="6"/>
      <c r="F62" s="6"/>
      <c r="G62" s="6"/>
      <c r="H62" s="93"/>
      <c r="I62" s="93"/>
      <c r="J62" s="93"/>
      <c r="K62" s="93"/>
      <c r="L62" s="93"/>
      <c r="M62" s="6"/>
      <c r="N62" s="6"/>
      <c r="O62" s="6"/>
      <c r="P62" s="6"/>
      <c r="Q62" s="6"/>
      <c r="R62" s="6"/>
      <c r="S62" s="6"/>
      <c r="T62" s="6"/>
      <c r="U62" s="6"/>
      <c r="V62" s="6"/>
      <c r="W62" s="6"/>
      <c r="X62" s="6"/>
      <c r="Y62" s="6"/>
      <c r="Z62" s="6"/>
      <c r="AA62" s="6"/>
      <c r="AB62" s="6"/>
    </row>
    <row r="63" ht="16.5" customHeight="1">
      <c r="A63" s="6"/>
      <c r="B63" s="6"/>
      <c r="C63" s="6"/>
      <c r="D63" s="6"/>
      <c r="E63" s="6"/>
      <c r="F63" s="6"/>
      <c r="G63" s="6"/>
      <c r="H63" s="93"/>
      <c r="I63" s="93"/>
      <c r="J63" s="93"/>
      <c r="K63" s="93"/>
      <c r="L63" s="93"/>
      <c r="M63" s="6"/>
      <c r="N63" s="6"/>
      <c r="O63" s="6"/>
      <c r="P63" s="6"/>
      <c r="Q63" s="6"/>
      <c r="R63" s="6"/>
      <c r="S63" s="6"/>
      <c r="T63" s="6"/>
      <c r="U63" s="6"/>
      <c r="V63" s="6"/>
      <c r="W63" s="6"/>
      <c r="X63" s="6"/>
      <c r="Y63" s="6"/>
      <c r="Z63" s="6"/>
      <c r="AA63" s="6"/>
      <c r="AB63" s="6"/>
    </row>
    <row r="64" ht="16.5" customHeight="1">
      <c r="A64" s="6"/>
      <c r="B64" s="6"/>
      <c r="C64" s="6"/>
      <c r="D64" s="6"/>
      <c r="E64" s="6"/>
      <c r="F64" s="6"/>
      <c r="G64" s="6"/>
      <c r="H64" s="93"/>
      <c r="I64" s="93"/>
      <c r="J64" s="93"/>
      <c r="K64" s="93"/>
      <c r="L64" s="93"/>
      <c r="M64" s="6"/>
      <c r="N64" s="6"/>
      <c r="O64" s="6"/>
      <c r="P64" s="6"/>
      <c r="Q64" s="6"/>
      <c r="R64" s="6"/>
      <c r="S64" s="6"/>
      <c r="T64" s="6"/>
      <c r="U64" s="6"/>
      <c r="V64" s="6"/>
      <c r="W64" s="6"/>
      <c r="X64" s="6"/>
      <c r="Y64" s="6"/>
      <c r="Z64" s="6"/>
      <c r="AA64" s="6"/>
      <c r="AB64" s="6"/>
    </row>
    <row r="65" ht="16.5" customHeight="1">
      <c r="A65" s="6"/>
      <c r="B65" s="6"/>
      <c r="C65" s="6"/>
      <c r="D65" s="6"/>
      <c r="E65" s="6"/>
      <c r="F65" s="6"/>
      <c r="G65" s="6"/>
      <c r="H65" s="93"/>
      <c r="I65" s="93"/>
      <c r="J65" s="93"/>
      <c r="K65" s="93"/>
      <c r="L65" s="93"/>
      <c r="M65" s="6"/>
      <c r="N65" s="6"/>
      <c r="O65" s="6"/>
      <c r="P65" s="6"/>
      <c r="Q65" s="6"/>
      <c r="R65" s="6"/>
      <c r="S65" s="6"/>
      <c r="T65" s="6"/>
      <c r="U65" s="6"/>
      <c r="V65" s="6"/>
      <c r="W65" s="6"/>
      <c r="X65" s="6"/>
      <c r="Y65" s="6"/>
      <c r="Z65" s="6"/>
      <c r="AA65" s="6"/>
      <c r="AB65" s="6"/>
    </row>
    <row r="66" ht="16.5" customHeight="1">
      <c r="A66" s="6"/>
      <c r="B66" s="6"/>
      <c r="C66" s="6"/>
      <c r="D66" s="6"/>
      <c r="E66" s="6"/>
      <c r="F66" s="6"/>
      <c r="G66" s="6"/>
      <c r="H66" s="93"/>
      <c r="I66" s="93"/>
      <c r="J66" s="93"/>
      <c r="K66" s="93"/>
      <c r="L66" s="93"/>
      <c r="M66" s="6"/>
      <c r="N66" s="6"/>
      <c r="O66" s="6"/>
      <c r="P66" s="6"/>
      <c r="Q66" s="6"/>
      <c r="R66" s="6"/>
      <c r="S66" s="6"/>
      <c r="T66" s="6"/>
      <c r="U66" s="6"/>
      <c r="V66" s="6"/>
      <c r="W66" s="6"/>
      <c r="X66" s="6"/>
      <c r="Y66" s="6"/>
      <c r="Z66" s="6"/>
      <c r="AA66" s="6"/>
      <c r="AB66" s="6"/>
    </row>
    <row r="67" ht="16.5" customHeight="1">
      <c r="A67" s="6"/>
      <c r="B67" s="6"/>
      <c r="C67" s="6"/>
      <c r="D67" s="6"/>
      <c r="E67" s="6"/>
      <c r="F67" s="6"/>
      <c r="G67" s="6"/>
      <c r="H67" s="93"/>
      <c r="I67" s="93"/>
      <c r="J67" s="93"/>
      <c r="K67" s="93"/>
      <c r="L67" s="93"/>
      <c r="M67" s="6"/>
      <c r="N67" s="6"/>
      <c r="O67" s="6"/>
      <c r="P67" s="6"/>
      <c r="Q67" s="6"/>
      <c r="R67" s="6"/>
      <c r="S67" s="6"/>
      <c r="T67" s="6"/>
      <c r="U67" s="6"/>
      <c r="V67" s="6"/>
      <c r="W67" s="6"/>
      <c r="X67" s="6"/>
      <c r="Y67" s="6"/>
      <c r="Z67" s="6"/>
      <c r="AA67" s="6"/>
      <c r="AB67" s="6"/>
    </row>
    <row r="68" ht="16.5" customHeight="1">
      <c r="A68" s="6"/>
      <c r="B68" s="6"/>
      <c r="C68" s="6"/>
      <c r="D68" s="6"/>
      <c r="E68" s="6"/>
      <c r="F68" s="6"/>
      <c r="G68" s="6"/>
      <c r="H68" s="93"/>
      <c r="I68" s="93"/>
      <c r="J68" s="93"/>
      <c r="K68" s="93"/>
      <c r="L68" s="93"/>
      <c r="M68" s="6"/>
      <c r="N68" s="6"/>
      <c r="O68" s="6"/>
      <c r="P68" s="6"/>
      <c r="Q68" s="6"/>
      <c r="R68" s="6"/>
      <c r="S68" s="6"/>
      <c r="T68" s="6"/>
      <c r="U68" s="6"/>
      <c r="V68" s="6"/>
      <c r="W68" s="6"/>
      <c r="X68" s="6"/>
      <c r="Y68" s="6"/>
      <c r="Z68" s="6"/>
      <c r="AA68" s="6"/>
      <c r="AB68" s="6"/>
    </row>
    <row r="69" ht="16.5" customHeight="1">
      <c r="A69" s="6"/>
      <c r="B69" s="6"/>
      <c r="C69" s="6"/>
      <c r="D69" s="6"/>
      <c r="E69" s="6"/>
      <c r="F69" s="6"/>
      <c r="G69" s="6"/>
      <c r="H69" s="93"/>
      <c r="I69" s="93"/>
      <c r="J69" s="93"/>
      <c r="K69" s="93"/>
      <c r="L69" s="93"/>
      <c r="M69" s="6"/>
      <c r="N69" s="6"/>
      <c r="O69" s="6"/>
      <c r="P69" s="6"/>
      <c r="Q69" s="6"/>
      <c r="R69" s="6"/>
      <c r="S69" s="6"/>
      <c r="T69" s="6"/>
      <c r="U69" s="6"/>
      <c r="V69" s="6"/>
      <c r="W69" s="6"/>
      <c r="X69" s="6"/>
      <c r="Y69" s="6"/>
      <c r="Z69" s="6"/>
      <c r="AA69" s="6"/>
      <c r="AB69" s="6"/>
    </row>
    <row r="70" ht="16.5" customHeight="1">
      <c r="A70" s="6"/>
      <c r="B70" s="6"/>
      <c r="C70" s="6"/>
      <c r="D70" s="6"/>
      <c r="E70" s="6"/>
      <c r="F70" s="6"/>
      <c r="G70" s="6"/>
      <c r="H70" s="93"/>
      <c r="I70" s="93"/>
      <c r="J70" s="93"/>
      <c r="K70" s="93"/>
      <c r="L70" s="93"/>
      <c r="M70" s="6"/>
      <c r="N70" s="6"/>
      <c r="O70" s="6"/>
      <c r="P70" s="6"/>
      <c r="Q70" s="6"/>
      <c r="R70" s="6"/>
      <c r="S70" s="6"/>
      <c r="T70" s="6"/>
      <c r="U70" s="6"/>
      <c r="V70" s="6"/>
      <c r="W70" s="6"/>
      <c r="X70" s="6"/>
      <c r="Y70" s="6"/>
      <c r="Z70" s="6"/>
      <c r="AA70" s="6"/>
      <c r="AB70" s="6"/>
    </row>
    <row r="71" ht="16.5" customHeight="1">
      <c r="A71" s="6"/>
      <c r="B71" s="6"/>
      <c r="C71" s="6"/>
      <c r="D71" s="6"/>
      <c r="E71" s="6"/>
      <c r="F71" s="6"/>
      <c r="G71" s="6"/>
      <c r="H71" s="93"/>
      <c r="I71" s="93"/>
      <c r="J71" s="93"/>
      <c r="K71" s="93"/>
      <c r="L71" s="93"/>
      <c r="M71" s="6"/>
      <c r="N71" s="6"/>
      <c r="O71" s="6"/>
      <c r="P71" s="6"/>
      <c r="Q71" s="6"/>
      <c r="R71" s="6"/>
      <c r="S71" s="6"/>
      <c r="T71" s="6"/>
      <c r="U71" s="6"/>
      <c r="V71" s="6"/>
      <c r="W71" s="6"/>
      <c r="X71" s="6"/>
      <c r="Y71" s="6"/>
      <c r="Z71" s="6"/>
      <c r="AA71" s="6"/>
      <c r="AB71" s="6"/>
    </row>
    <row r="72" ht="16.5" customHeight="1">
      <c r="A72" s="6"/>
      <c r="B72" s="6"/>
      <c r="C72" s="6"/>
      <c r="D72" s="6"/>
      <c r="E72" s="6"/>
      <c r="F72" s="6"/>
      <c r="G72" s="6"/>
      <c r="H72" s="93"/>
      <c r="I72" s="93"/>
      <c r="J72" s="93"/>
      <c r="K72" s="93"/>
      <c r="L72" s="93"/>
      <c r="M72" s="6"/>
      <c r="N72" s="6"/>
      <c r="O72" s="6"/>
      <c r="P72" s="6"/>
      <c r="Q72" s="6"/>
      <c r="R72" s="6"/>
      <c r="S72" s="6"/>
      <c r="T72" s="6"/>
      <c r="U72" s="6"/>
      <c r="V72" s="6"/>
      <c r="W72" s="6"/>
      <c r="X72" s="6"/>
      <c r="Y72" s="6"/>
      <c r="Z72" s="6"/>
      <c r="AA72" s="6"/>
      <c r="AB72" s="6"/>
    </row>
    <row r="73" ht="16.5" customHeight="1">
      <c r="A73" s="6"/>
      <c r="B73" s="6"/>
      <c r="C73" s="6"/>
      <c r="D73" s="6"/>
      <c r="E73" s="6"/>
      <c r="F73" s="6"/>
      <c r="G73" s="6"/>
      <c r="H73" s="93"/>
      <c r="I73" s="93"/>
      <c r="J73" s="93"/>
      <c r="K73" s="93"/>
      <c r="L73" s="93"/>
      <c r="M73" s="6"/>
      <c r="N73" s="6"/>
      <c r="O73" s="6"/>
      <c r="P73" s="6"/>
      <c r="Q73" s="6"/>
      <c r="R73" s="6"/>
      <c r="S73" s="6"/>
      <c r="T73" s="6"/>
      <c r="U73" s="6"/>
      <c r="V73" s="6"/>
      <c r="W73" s="6"/>
      <c r="X73" s="6"/>
      <c r="Y73" s="6"/>
      <c r="Z73" s="6"/>
      <c r="AA73" s="6"/>
      <c r="AB73" s="6"/>
    </row>
    <row r="74" ht="16.5" customHeight="1">
      <c r="A74" s="6"/>
      <c r="B74" s="6"/>
      <c r="C74" s="6"/>
      <c r="D74" s="6"/>
      <c r="E74" s="6"/>
      <c r="F74" s="6"/>
      <c r="G74" s="6"/>
      <c r="H74" s="93"/>
      <c r="I74" s="93"/>
      <c r="J74" s="93"/>
      <c r="K74" s="93"/>
      <c r="L74" s="93"/>
      <c r="M74" s="6"/>
      <c r="N74" s="6"/>
      <c r="O74" s="6"/>
      <c r="P74" s="6"/>
      <c r="Q74" s="6"/>
      <c r="R74" s="6"/>
      <c r="S74" s="6"/>
      <c r="T74" s="6"/>
      <c r="U74" s="6"/>
      <c r="V74" s="6"/>
      <c r="W74" s="6"/>
      <c r="X74" s="6"/>
      <c r="Y74" s="6"/>
      <c r="Z74" s="6"/>
      <c r="AA74" s="6"/>
      <c r="AB74" s="6"/>
    </row>
    <row r="75" ht="16.5" customHeight="1">
      <c r="A75" s="6"/>
      <c r="B75" s="6"/>
      <c r="C75" s="6"/>
      <c r="D75" s="6"/>
      <c r="E75" s="6"/>
      <c r="F75" s="6"/>
      <c r="G75" s="6"/>
      <c r="H75" s="93"/>
      <c r="I75" s="93"/>
      <c r="J75" s="93"/>
      <c r="K75" s="93"/>
      <c r="L75" s="93"/>
      <c r="M75" s="6"/>
      <c r="N75" s="6"/>
      <c r="O75" s="6"/>
      <c r="P75" s="6"/>
      <c r="Q75" s="6"/>
      <c r="R75" s="6"/>
      <c r="S75" s="6"/>
      <c r="T75" s="6"/>
      <c r="U75" s="6"/>
      <c r="V75" s="6"/>
      <c r="W75" s="6"/>
      <c r="X75" s="6"/>
      <c r="Y75" s="6"/>
      <c r="Z75" s="6"/>
      <c r="AA75" s="6"/>
      <c r="AB75" s="6"/>
    </row>
    <row r="76" ht="16.5" customHeight="1">
      <c r="A76" s="6"/>
      <c r="B76" s="6"/>
      <c r="C76" s="6"/>
      <c r="D76" s="6"/>
      <c r="E76" s="6"/>
      <c r="F76" s="6"/>
      <c r="G76" s="6"/>
      <c r="H76" s="93"/>
      <c r="I76" s="93"/>
      <c r="J76" s="93"/>
      <c r="K76" s="93"/>
      <c r="L76" s="93"/>
      <c r="M76" s="6"/>
      <c r="N76" s="6"/>
      <c r="O76" s="6"/>
      <c r="P76" s="6"/>
      <c r="Q76" s="6"/>
      <c r="R76" s="6"/>
      <c r="S76" s="6"/>
      <c r="T76" s="6"/>
      <c r="U76" s="6"/>
      <c r="V76" s="6"/>
      <c r="W76" s="6"/>
      <c r="X76" s="6"/>
      <c r="Y76" s="6"/>
      <c r="Z76" s="6"/>
      <c r="AA76" s="6"/>
      <c r="AB76" s="6"/>
    </row>
    <row r="77" ht="16.5" customHeight="1">
      <c r="A77" s="6"/>
      <c r="B77" s="6"/>
      <c r="C77" s="6"/>
      <c r="D77" s="6"/>
      <c r="E77" s="6"/>
      <c r="F77" s="6"/>
      <c r="G77" s="6"/>
      <c r="H77" s="93"/>
      <c r="I77" s="93"/>
      <c r="J77" s="93"/>
      <c r="K77" s="93"/>
      <c r="L77" s="93"/>
      <c r="M77" s="6"/>
      <c r="N77" s="6"/>
      <c r="O77" s="6"/>
      <c r="P77" s="6"/>
      <c r="Q77" s="6"/>
      <c r="R77" s="6"/>
      <c r="S77" s="6"/>
      <c r="T77" s="6"/>
      <c r="U77" s="6"/>
      <c r="V77" s="6"/>
      <c r="W77" s="6"/>
      <c r="X77" s="6"/>
      <c r="Y77" s="6"/>
      <c r="Z77" s="6"/>
      <c r="AA77" s="6"/>
      <c r="AB77" s="6"/>
    </row>
    <row r="78" ht="16.5" customHeight="1">
      <c r="A78" s="6"/>
      <c r="B78" s="6"/>
      <c r="C78" s="6"/>
      <c r="D78" s="6"/>
      <c r="E78" s="6"/>
      <c r="F78" s="6"/>
      <c r="G78" s="6"/>
      <c r="H78" s="93"/>
      <c r="I78" s="93"/>
      <c r="J78" s="93"/>
      <c r="K78" s="93"/>
      <c r="L78" s="93"/>
      <c r="M78" s="6"/>
      <c r="N78" s="6"/>
      <c r="O78" s="6"/>
      <c r="P78" s="6"/>
      <c r="Q78" s="6"/>
      <c r="R78" s="6"/>
      <c r="S78" s="6"/>
      <c r="T78" s="6"/>
      <c r="U78" s="6"/>
      <c r="V78" s="6"/>
      <c r="W78" s="6"/>
      <c r="X78" s="6"/>
      <c r="Y78" s="6"/>
      <c r="Z78" s="6"/>
      <c r="AA78" s="6"/>
      <c r="AB78" s="6"/>
    </row>
    <row r="79" ht="16.5" customHeight="1">
      <c r="A79" s="6"/>
      <c r="B79" s="6"/>
      <c r="C79" s="6"/>
      <c r="D79" s="6"/>
      <c r="E79" s="6"/>
      <c r="F79" s="6"/>
      <c r="G79" s="6"/>
      <c r="H79" s="93"/>
      <c r="I79" s="93"/>
      <c r="J79" s="93"/>
      <c r="K79" s="93"/>
      <c r="L79" s="93"/>
      <c r="M79" s="6"/>
      <c r="N79" s="6"/>
      <c r="O79" s="6"/>
      <c r="P79" s="6"/>
      <c r="Q79" s="6"/>
      <c r="R79" s="6"/>
      <c r="S79" s="6"/>
      <c r="T79" s="6"/>
      <c r="U79" s="6"/>
      <c r="V79" s="6"/>
      <c r="W79" s="6"/>
      <c r="X79" s="6"/>
      <c r="Y79" s="6"/>
      <c r="Z79" s="6"/>
      <c r="AA79" s="6"/>
      <c r="AB79" s="6"/>
    </row>
    <row r="80" ht="16.5" customHeight="1">
      <c r="A80" s="6"/>
      <c r="B80" s="6"/>
      <c r="C80" s="6"/>
      <c r="D80" s="6"/>
      <c r="E80" s="6"/>
      <c r="F80" s="6"/>
      <c r="G80" s="6"/>
      <c r="H80" s="93"/>
      <c r="I80" s="93"/>
      <c r="J80" s="93"/>
      <c r="K80" s="93"/>
      <c r="L80" s="93"/>
      <c r="M80" s="6"/>
      <c r="N80" s="6"/>
      <c r="O80" s="6"/>
      <c r="P80" s="6"/>
      <c r="Q80" s="6"/>
      <c r="R80" s="6"/>
      <c r="S80" s="6"/>
      <c r="T80" s="6"/>
      <c r="U80" s="6"/>
      <c r="V80" s="6"/>
      <c r="W80" s="6"/>
      <c r="X80" s="6"/>
      <c r="Y80" s="6"/>
      <c r="Z80" s="6"/>
      <c r="AA80" s="6"/>
      <c r="AB80" s="6"/>
    </row>
    <row r="81" ht="16.5" customHeight="1">
      <c r="A81" s="6"/>
      <c r="B81" s="6"/>
      <c r="C81" s="6"/>
      <c r="D81" s="6"/>
      <c r="E81" s="6"/>
      <c r="F81" s="6"/>
      <c r="G81" s="6"/>
      <c r="H81" s="93"/>
      <c r="I81" s="93"/>
      <c r="J81" s="93"/>
      <c r="K81" s="93"/>
      <c r="L81" s="93"/>
      <c r="M81" s="6"/>
      <c r="N81" s="6"/>
      <c r="O81" s="6"/>
      <c r="P81" s="6"/>
      <c r="Q81" s="6"/>
      <c r="R81" s="6"/>
      <c r="S81" s="6"/>
      <c r="T81" s="6"/>
      <c r="U81" s="6"/>
      <c r="V81" s="6"/>
      <c r="W81" s="6"/>
      <c r="X81" s="6"/>
      <c r="Y81" s="6"/>
      <c r="Z81" s="6"/>
      <c r="AA81" s="6"/>
      <c r="AB81" s="6"/>
    </row>
    <row r="82" ht="16.5" customHeight="1">
      <c r="A82" s="6"/>
      <c r="B82" s="6"/>
      <c r="C82" s="6"/>
      <c r="D82" s="6"/>
      <c r="E82" s="6"/>
      <c r="F82" s="6"/>
      <c r="G82" s="6"/>
      <c r="H82" s="93"/>
      <c r="I82" s="93"/>
      <c r="J82" s="93"/>
      <c r="K82" s="93"/>
      <c r="L82" s="93"/>
      <c r="M82" s="6"/>
      <c r="N82" s="6"/>
      <c r="O82" s="6"/>
      <c r="P82" s="6"/>
      <c r="Q82" s="6"/>
      <c r="R82" s="6"/>
      <c r="S82" s="6"/>
      <c r="T82" s="6"/>
      <c r="U82" s="6"/>
      <c r="V82" s="6"/>
      <c r="W82" s="6"/>
      <c r="X82" s="6"/>
      <c r="Y82" s="6"/>
      <c r="Z82" s="6"/>
      <c r="AA82" s="6"/>
      <c r="AB82" s="6"/>
    </row>
    <row r="83" ht="16.5" customHeight="1">
      <c r="A83" s="6"/>
      <c r="B83" s="6"/>
      <c r="C83" s="6"/>
      <c r="D83" s="6"/>
      <c r="E83" s="6"/>
      <c r="F83" s="6"/>
      <c r="G83" s="6"/>
      <c r="H83" s="93"/>
      <c r="I83" s="93"/>
      <c r="J83" s="93"/>
      <c r="K83" s="93"/>
      <c r="L83" s="93"/>
      <c r="M83" s="6"/>
      <c r="N83" s="6"/>
      <c r="O83" s="6"/>
      <c r="P83" s="6"/>
      <c r="Q83" s="6"/>
      <c r="R83" s="6"/>
      <c r="S83" s="6"/>
      <c r="T83" s="6"/>
      <c r="U83" s="6"/>
      <c r="V83" s="6"/>
      <c r="W83" s="6"/>
      <c r="X83" s="6"/>
      <c r="Y83" s="6"/>
      <c r="Z83" s="6"/>
      <c r="AA83" s="6"/>
      <c r="AB83" s="6"/>
    </row>
    <row r="84" ht="16.5" customHeight="1">
      <c r="A84" s="6"/>
      <c r="B84" s="6"/>
      <c r="C84" s="6"/>
      <c r="D84" s="6"/>
      <c r="E84" s="6"/>
      <c r="F84" s="6"/>
      <c r="G84" s="6"/>
      <c r="H84" s="93"/>
      <c r="I84" s="93"/>
      <c r="J84" s="93"/>
      <c r="K84" s="93"/>
      <c r="L84" s="93"/>
      <c r="M84" s="6"/>
      <c r="N84" s="6"/>
      <c r="O84" s="6"/>
      <c r="P84" s="6"/>
      <c r="Q84" s="6"/>
      <c r="R84" s="6"/>
      <c r="S84" s="6"/>
      <c r="T84" s="6"/>
      <c r="U84" s="6"/>
      <c r="V84" s="6"/>
      <c r="W84" s="6"/>
      <c r="X84" s="6"/>
      <c r="Y84" s="6"/>
      <c r="Z84" s="6"/>
      <c r="AA84" s="6"/>
      <c r="AB84" s="6"/>
    </row>
    <row r="85" ht="16.5" customHeight="1">
      <c r="A85" s="6"/>
      <c r="B85" s="6"/>
      <c r="C85" s="6"/>
      <c r="D85" s="6"/>
      <c r="E85" s="6"/>
      <c r="F85" s="6"/>
      <c r="G85" s="6"/>
      <c r="H85" s="93"/>
      <c r="I85" s="93"/>
      <c r="J85" s="93"/>
      <c r="K85" s="93"/>
      <c r="L85" s="93"/>
      <c r="M85" s="6"/>
      <c r="N85" s="6"/>
      <c r="O85" s="6"/>
      <c r="P85" s="6"/>
      <c r="Q85" s="6"/>
      <c r="R85" s="6"/>
      <c r="S85" s="6"/>
      <c r="T85" s="6"/>
      <c r="U85" s="6"/>
      <c r="V85" s="6"/>
      <c r="W85" s="6"/>
      <c r="X85" s="6"/>
      <c r="Y85" s="6"/>
      <c r="Z85" s="6"/>
      <c r="AA85" s="6"/>
      <c r="AB85" s="6"/>
    </row>
    <row r="86" ht="16.5" customHeight="1">
      <c r="A86" s="6"/>
      <c r="B86" s="6"/>
      <c r="C86" s="6"/>
      <c r="D86" s="6"/>
      <c r="E86" s="6"/>
      <c r="F86" s="6"/>
      <c r="G86" s="6"/>
      <c r="H86" s="93"/>
      <c r="I86" s="93"/>
      <c r="J86" s="93"/>
      <c r="K86" s="93"/>
      <c r="L86" s="93"/>
      <c r="M86" s="6"/>
      <c r="N86" s="6"/>
      <c r="O86" s="6"/>
      <c r="P86" s="6"/>
      <c r="Q86" s="6"/>
      <c r="R86" s="6"/>
      <c r="S86" s="6"/>
      <c r="T86" s="6"/>
      <c r="U86" s="6"/>
      <c r="V86" s="6"/>
      <c r="W86" s="6"/>
      <c r="X86" s="6"/>
      <c r="Y86" s="6"/>
      <c r="Z86" s="6"/>
      <c r="AA86" s="6"/>
      <c r="AB86" s="6"/>
    </row>
    <row r="87" ht="16.5" customHeight="1">
      <c r="A87" s="6"/>
      <c r="B87" s="6"/>
      <c r="C87" s="6"/>
      <c r="D87" s="6"/>
      <c r="E87" s="6"/>
      <c r="F87" s="6"/>
      <c r="G87" s="6"/>
      <c r="H87" s="93"/>
      <c r="I87" s="93"/>
      <c r="J87" s="93"/>
      <c r="K87" s="93"/>
      <c r="L87" s="93"/>
      <c r="M87" s="6"/>
      <c r="N87" s="6"/>
      <c r="O87" s="6"/>
      <c r="P87" s="6"/>
      <c r="Q87" s="6"/>
      <c r="R87" s="6"/>
      <c r="S87" s="6"/>
      <c r="T87" s="6"/>
      <c r="U87" s="6"/>
      <c r="V87" s="6"/>
      <c r="W87" s="6"/>
      <c r="X87" s="6"/>
      <c r="Y87" s="6"/>
      <c r="Z87" s="6"/>
      <c r="AA87" s="6"/>
      <c r="AB87" s="6"/>
    </row>
    <row r="88" ht="16.5" customHeight="1">
      <c r="A88" s="6"/>
      <c r="B88" s="6"/>
      <c r="C88" s="6"/>
      <c r="D88" s="6"/>
      <c r="E88" s="6"/>
      <c r="F88" s="6"/>
      <c r="G88" s="6"/>
      <c r="H88" s="93"/>
      <c r="I88" s="93"/>
      <c r="J88" s="93"/>
      <c r="K88" s="93"/>
      <c r="L88" s="93"/>
      <c r="M88" s="6"/>
      <c r="N88" s="6"/>
      <c r="O88" s="6"/>
      <c r="P88" s="6"/>
      <c r="Q88" s="6"/>
      <c r="R88" s="6"/>
      <c r="S88" s="6"/>
      <c r="T88" s="6"/>
      <c r="U88" s="6"/>
      <c r="V88" s="6"/>
      <c r="W88" s="6"/>
      <c r="X88" s="6"/>
      <c r="Y88" s="6"/>
      <c r="Z88" s="6"/>
      <c r="AA88" s="6"/>
      <c r="AB88" s="6"/>
    </row>
    <row r="89" ht="16.5" customHeight="1">
      <c r="A89" s="6"/>
      <c r="B89" s="6"/>
      <c r="C89" s="6"/>
      <c r="D89" s="6"/>
      <c r="E89" s="6"/>
      <c r="F89" s="6"/>
      <c r="G89" s="6"/>
      <c r="H89" s="93"/>
      <c r="I89" s="93"/>
      <c r="J89" s="93"/>
      <c r="K89" s="93"/>
      <c r="L89" s="93"/>
      <c r="M89" s="6"/>
      <c r="N89" s="6"/>
      <c r="O89" s="6"/>
      <c r="P89" s="6"/>
      <c r="Q89" s="6"/>
      <c r="R89" s="6"/>
      <c r="S89" s="6"/>
      <c r="T89" s="6"/>
      <c r="U89" s="6"/>
      <c r="V89" s="6"/>
      <c r="W89" s="6"/>
      <c r="X89" s="6"/>
      <c r="Y89" s="6"/>
      <c r="Z89" s="6"/>
      <c r="AA89" s="6"/>
      <c r="AB89" s="6"/>
    </row>
    <row r="90" ht="16.5" customHeight="1">
      <c r="A90" s="6"/>
      <c r="B90" s="6"/>
      <c r="C90" s="6"/>
      <c r="D90" s="6"/>
      <c r="E90" s="6"/>
      <c r="F90" s="6"/>
      <c r="G90" s="6"/>
      <c r="H90" s="93"/>
      <c r="I90" s="93"/>
      <c r="J90" s="93"/>
      <c r="K90" s="93"/>
      <c r="L90" s="93"/>
      <c r="M90" s="6"/>
      <c r="N90" s="6"/>
      <c r="O90" s="6"/>
      <c r="P90" s="6"/>
      <c r="Q90" s="6"/>
      <c r="R90" s="6"/>
      <c r="S90" s="6"/>
      <c r="T90" s="6"/>
      <c r="U90" s="6"/>
      <c r="V90" s="6"/>
      <c r="W90" s="6"/>
      <c r="X90" s="6"/>
      <c r="Y90" s="6"/>
      <c r="Z90" s="6"/>
      <c r="AA90" s="6"/>
      <c r="AB90" s="6"/>
    </row>
    <row r="91" ht="16.5" customHeight="1">
      <c r="A91" s="6"/>
      <c r="B91" s="6"/>
      <c r="C91" s="6"/>
      <c r="D91" s="6"/>
      <c r="E91" s="6"/>
      <c r="F91" s="6"/>
      <c r="G91" s="6"/>
      <c r="H91" s="93"/>
      <c r="I91" s="93"/>
      <c r="J91" s="93"/>
      <c r="K91" s="93"/>
      <c r="L91" s="93"/>
      <c r="M91" s="6"/>
      <c r="N91" s="6"/>
      <c r="O91" s="6"/>
      <c r="P91" s="6"/>
      <c r="Q91" s="6"/>
      <c r="R91" s="6"/>
      <c r="S91" s="6"/>
      <c r="T91" s="6"/>
      <c r="U91" s="6"/>
      <c r="V91" s="6"/>
      <c r="W91" s="6"/>
      <c r="X91" s="6"/>
      <c r="Y91" s="6"/>
      <c r="Z91" s="6"/>
      <c r="AA91" s="6"/>
      <c r="AB91" s="6"/>
    </row>
    <row r="92" ht="16.5" customHeight="1">
      <c r="A92" s="6"/>
      <c r="B92" s="6"/>
      <c r="C92" s="6"/>
      <c r="D92" s="6"/>
      <c r="E92" s="6"/>
      <c r="F92" s="6"/>
      <c r="G92" s="6"/>
      <c r="H92" s="93"/>
      <c r="I92" s="93"/>
      <c r="J92" s="93"/>
      <c r="K92" s="93"/>
      <c r="L92" s="93"/>
      <c r="M92" s="6"/>
      <c r="N92" s="6"/>
      <c r="O92" s="6"/>
      <c r="P92" s="6"/>
      <c r="Q92" s="6"/>
      <c r="R92" s="6"/>
      <c r="S92" s="6"/>
      <c r="T92" s="6"/>
      <c r="U92" s="6"/>
      <c r="V92" s="6"/>
      <c r="W92" s="6"/>
      <c r="X92" s="6"/>
      <c r="Y92" s="6"/>
      <c r="Z92" s="6"/>
      <c r="AA92" s="6"/>
      <c r="AB92" s="6"/>
    </row>
    <row r="93" ht="16.5" customHeight="1">
      <c r="A93" s="6"/>
      <c r="B93" s="6"/>
      <c r="C93" s="6"/>
      <c r="D93" s="6"/>
      <c r="E93" s="6"/>
      <c r="F93" s="6"/>
      <c r="G93" s="6"/>
      <c r="H93" s="93"/>
      <c r="I93" s="93"/>
      <c r="J93" s="93"/>
      <c r="K93" s="93"/>
      <c r="L93" s="93"/>
      <c r="M93" s="6"/>
      <c r="N93" s="6"/>
      <c r="O93" s="6"/>
      <c r="P93" s="6"/>
      <c r="Q93" s="6"/>
      <c r="R93" s="6"/>
      <c r="S93" s="6"/>
      <c r="T93" s="6"/>
      <c r="U93" s="6"/>
      <c r="V93" s="6"/>
      <c r="W93" s="6"/>
      <c r="X93" s="6"/>
      <c r="Y93" s="6"/>
      <c r="Z93" s="6"/>
      <c r="AA93" s="6"/>
      <c r="AB93" s="6"/>
    </row>
    <row r="94" ht="16.5" customHeight="1">
      <c r="A94" s="6"/>
      <c r="B94" s="6"/>
      <c r="C94" s="6"/>
      <c r="D94" s="6"/>
      <c r="E94" s="6"/>
      <c r="F94" s="6"/>
      <c r="G94" s="6"/>
      <c r="H94" s="93"/>
      <c r="I94" s="93"/>
      <c r="J94" s="93"/>
      <c r="K94" s="93"/>
      <c r="L94" s="93"/>
      <c r="M94" s="6"/>
      <c r="N94" s="6"/>
      <c r="O94" s="6"/>
      <c r="P94" s="6"/>
      <c r="Q94" s="6"/>
      <c r="R94" s="6"/>
      <c r="S94" s="6"/>
      <c r="T94" s="6"/>
      <c r="U94" s="6"/>
      <c r="V94" s="6"/>
      <c r="W94" s="6"/>
      <c r="X94" s="6"/>
      <c r="Y94" s="6"/>
      <c r="Z94" s="6"/>
      <c r="AA94" s="6"/>
      <c r="AB94" s="6"/>
    </row>
    <row r="95" ht="16.5" customHeight="1">
      <c r="A95" s="6"/>
      <c r="B95" s="6"/>
      <c r="C95" s="6"/>
      <c r="D95" s="6"/>
      <c r="E95" s="6"/>
      <c r="F95" s="6"/>
      <c r="G95" s="6"/>
      <c r="H95" s="93"/>
      <c r="I95" s="93"/>
      <c r="J95" s="93"/>
      <c r="K95" s="93"/>
      <c r="L95" s="93"/>
      <c r="M95" s="6"/>
      <c r="N95" s="6"/>
      <c r="O95" s="6"/>
      <c r="P95" s="6"/>
      <c r="Q95" s="6"/>
      <c r="R95" s="6"/>
      <c r="S95" s="6"/>
      <c r="T95" s="6"/>
      <c r="U95" s="6"/>
      <c r="V95" s="6"/>
      <c r="W95" s="6"/>
      <c r="X95" s="6"/>
      <c r="Y95" s="6"/>
      <c r="Z95" s="6"/>
      <c r="AA95" s="6"/>
      <c r="AB95" s="6"/>
    </row>
    <row r="96" ht="16.5" customHeight="1">
      <c r="A96" s="6"/>
      <c r="B96" s="6"/>
      <c r="C96" s="6"/>
      <c r="D96" s="6"/>
      <c r="E96" s="6"/>
      <c r="F96" s="6"/>
      <c r="G96" s="6"/>
      <c r="H96" s="93"/>
      <c r="I96" s="93"/>
      <c r="J96" s="93"/>
      <c r="K96" s="93"/>
      <c r="L96" s="93"/>
      <c r="M96" s="6"/>
      <c r="N96" s="6"/>
      <c r="O96" s="6"/>
      <c r="P96" s="6"/>
      <c r="Q96" s="6"/>
      <c r="R96" s="6"/>
      <c r="S96" s="6"/>
      <c r="T96" s="6"/>
      <c r="U96" s="6"/>
      <c r="V96" s="6"/>
      <c r="W96" s="6"/>
      <c r="X96" s="6"/>
      <c r="Y96" s="6"/>
      <c r="Z96" s="6"/>
      <c r="AA96" s="6"/>
      <c r="AB96" s="6"/>
    </row>
    <row r="97" ht="16.5" customHeight="1">
      <c r="A97" s="6"/>
      <c r="B97" s="6"/>
      <c r="C97" s="6"/>
      <c r="D97" s="6"/>
      <c r="E97" s="6"/>
      <c r="F97" s="6"/>
      <c r="G97" s="6"/>
      <c r="H97" s="93"/>
      <c r="I97" s="93"/>
      <c r="J97" s="93"/>
      <c r="K97" s="93"/>
      <c r="L97" s="93"/>
      <c r="M97" s="6"/>
      <c r="N97" s="6"/>
      <c r="O97" s="6"/>
      <c r="P97" s="6"/>
      <c r="Q97" s="6"/>
      <c r="R97" s="6"/>
      <c r="S97" s="6"/>
      <c r="T97" s="6"/>
      <c r="U97" s="6"/>
      <c r="V97" s="6"/>
      <c r="W97" s="6"/>
      <c r="X97" s="6"/>
      <c r="Y97" s="6"/>
      <c r="Z97" s="6"/>
      <c r="AA97" s="6"/>
      <c r="AB97" s="6"/>
    </row>
    <row r="98" ht="16.5" customHeight="1">
      <c r="A98" s="6"/>
      <c r="B98" s="6"/>
      <c r="C98" s="6"/>
      <c r="D98" s="6"/>
      <c r="E98" s="6"/>
      <c r="F98" s="6"/>
      <c r="G98" s="6"/>
      <c r="H98" s="93"/>
      <c r="I98" s="93"/>
      <c r="J98" s="93"/>
      <c r="K98" s="93"/>
      <c r="L98" s="93"/>
      <c r="M98" s="6"/>
      <c r="N98" s="6"/>
      <c r="O98" s="6"/>
      <c r="P98" s="6"/>
      <c r="Q98" s="6"/>
      <c r="R98" s="6"/>
      <c r="S98" s="6"/>
      <c r="T98" s="6"/>
      <c r="U98" s="6"/>
      <c r="V98" s="6"/>
      <c r="W98" s="6"/>
      <c r="X98" s="6"/>
      <c r="Y98" s="6"/>
      <c r="Z98" s="6"/>
      <c r="AA98" s="6"/>
      <c r="AB98" s="6"/>
    </row>
    <row r="99" ht="16.5" customHeight="1">
      <c r="A99" s="6"/>
      <c r="B99" s="6"/>
      <c r="C99" s="6"/>
      <c r="D99" s="6"/>
      <c r="E99" s="6"/>
      <c r="F99" s="6"/>
      <c r="G99" s="6"/>
      <c r="H99" s="93"/>
      <c r="I99" s="93"/>
      <c r="J99" s="93"/>
      <c r="K99" s="93"/>
      <c r="L99" s="93"/>
      <c r="M99" s="6"/>
      <c r="N99" s="6"/>
      <c r="O99" s="6"/>
      <c r="P99" s="6"/>
      <c r="Q99" s="6"/>
      <c r="R99" s="6"/>
      <c r="S99" s="6"/>
      <c r="T99" s="6"/>
      <c r="U99" s="6"/>
      <c r="V99" s="6"/>
      <c r="W99" s="6"/>
      <c r="X99" s="6"/>
      <c r="Y99" s="6"/>
      <c r="Z99" s="6"/>
      <c r="AA99" s="6"/>
      <c r="AB99" s="6"/>
    </row>
    <row r="100" ht="16.5" customHeight="1">
      <c r="A100" s="6"/>
      <c r="B100" s="6"/>
      <c r="C100" s="6"/>
      <c r="D100" s="6"/>
      <c r="E100" s="6"/>
      <c r="F100" s="6"/>
      <c r="G100" s="6"/>
      <c r="H100" s="93"/>
      <c r="I100" s="93"/>
      <c r="J100" s="93"/>
      <c r="K100" s="93"/>
      <c r="L100" s="93"/>
      <c r="M100" s="6"/>
      <c r="N100" s="6"/>
      <c r="O100" s="6"/>
      <c r="P100" s="6"/>
      <c r="Q100" s="6"/>
      <c r="R100" s="6"/>
      <c r="S100" s="6"/>
      <c r="T100" s="6"/>
      <c r="U100" s="6"/>
      <c r="V100" s="6"/>
      <c r="W100" s="6"/>
      <c r="X100" s="6"/>
      <c r="Y100" s="6"/>
      <c r="Z100" s="6"/>
      <c r="AA100" s="6"/>
      <c r="AB100" s="6"/>
    </row>
    <row r="101" ht="16.5" customHeight="1">
      <c r="A101" s="6"/>
      <c r="B101" s="6"/>
      <c r="C101" s="6"/>
      <c r="D101" s="6"/>
      <c r="E101" s="6"/>
      <c r="F101" s="6"/>
      <c r="G101" s="6"/>
      <c r="H101" s="93"/>
      <c r="I101" s="93"/>
      <c r="J101" s="93"/>
      <c r="K101" s="93"/>
      <c r="L101" s="93"/>
      <c r="M101" s="6"/>
      <c r="N101" s="6"/>
      <c r="O101" s="6"/>
      <c r="P101" s="6"/>
      <c r="Q101" s="6"/>
      <c r="R101" s="6"/>
      <c r="S101" s="6"/>
      <c r="T101" s="6"/>
      <c r="U101" s="6"/>
      <c r="V101" s="6"/>
      <c r="W101" s="6"/>
      <c r="X101" s="6"/>
      <c r="Y101" s="6"/>
      <c r="Z101" s="6"/>
      <c r="AA101" s="6"/>
      <c r="AB101" s="6"/>
    </row>
    <row r="102" ht="16.5" customHeight="1">
      <c r="A102" s="6"/>
      <c r="B102" s="6"/>
      <c r="C102" s="6"/>
      <c r="D102" s="6"/>
      <c r="E102" s="6"/>
      <c r="F102" s="6"/>
      <c r="G102" s="6"/>
      <c r="H102" s="93"/>
      <c r="I102" s="93"/>
      <c r="J102" s="93"/>
      <c r="K102" s="93"/>
      <c r="L102" s="93"/>
      <c r="M102" s="6"/>
      <c r="N102" s="6"/>
      <c r="O102" s="6"/>
      <c r="P102" s="6"/>
      <c r="Q102" s="6"/>
      <c r="R102" s="6"/>
      <c r="S102" s="6"/>
      <c r="T102" s="6"/>
      <c r="U102" s="6"/>
      <c r="V102" s="6"/>
      <c r="W102" s="6"/>
      <c r="X102" s="6"/>
      <c r="Y102" s="6"/>
      <c r="Z102" s="6"/>
      <c r="AA102" s="6"/>
      <c r="AB102" s="6"/>
    </row>
    <row r="103" ht="16.5" customHeight="1">
      <c r="A103" s="6"/>
      <c r="B103" s="6"/>
      <c r="C103" s="6"/>
      <c r="D103" s="6"/>
      <c r="E103" s="6"/>
      <c r="F103" s="6"/>
      <c r="G103" s="6"/>
      <c r="H103" s="93"/>
      <c r="I103" s="93"/>
      <c r="J103" s="93"/>
      <c r="K103" s="93"/>
      <c r="L103" s="93"/>
      <c r="M103" s="6"/>
      <c r="N103" s="6"/>
      <c r="O103" s="6"/>
      <c r="P103" s="6"/>
      <c r="Q103" s="6"/>
      <c r="R103" s="6"/>
      <c r="S103" s="6"/>
      <c r="T103" s="6"/>
      <c r="U103" s="6"/>
      <c r="V103" s="6"/>
      <c r="W103" s="6"/>
      <c r="X103" s="6"/>
      <c r="Y103" s="6"/>
      <c r="Z103" s="6"/>
      <c r="AA103" s="6"/>
      <c r="AB103" s="6"/>
    </row>
    <row r="104" ht="16.5" customHeight="1">
      <c r="A104" s="6"/>
      <c r="B104" s="6"/>
      <c r="C104" s="6"/>
      <c r="D104" s="6"/>
      <c r="E104" s="6"/>
      <c r="F104" s="6"/>
      <c r="G104" s="6"/>
      <c r="H104" s="93"/>
      <c r="I104" s="93"/>
      <c r="J104" s="93"/>
      <c r="K104" s="93"/>
      <c r="L104" s="93"/>
      <c r="M104" s="6"/>
      <c r="N104" s="6"/>
      <c r="O104" s="6"/>
      <c r="P104" s="6"/>
      <c r="Q104" s="6"/>
      <c r="R104" s="6"/>
      <c r="S104" s="6"/>
      <c r="T104" s="6"/>
      <c r="U104" s="6"/>
      <c r="V104" s="6"/>
      <c r="W104" s="6"/>
      <c r="X104" s="6"/>
      <c r="Y104" s="6"/>
      <c r="Z104" s="6"/>
      <c r="AA104" s="6"/>
      <c r="AB104" s="6"/>
    </row>
    <row r="105" ht="16.5" customHeight="1">
      <c r="A105" s="6"/>
      <c r="B105" s="6"/>
      <c r="C105" s="6"/>
      <c r="D105" s="6"/>
      <c r="E105" s="6"/>
      <c r="F105" s="6"/>
      <c r="G105" s="6"/>
      <c r="H105" s="93"/>
      <c r="I105" s="93"/>
      <c r="J105" s="93"/>
      <c r="K105" s="93"/>
      <c r="L105" s="93"/>
      <c r="M105" s="6"/>
      <c r="N105" s="6"/>
      <c r="O105" s="6"/>
      <c r="P105" s="6"/>
      <c r="Q105" s="6"/>
      <c r="R105" s="6"/>
      <c r="S105" s="6"/>
      <c r="T105" s="6"/>
      <c r="U105" s="6"/>
      <c r="V105" s="6"/>
      <c r="W105" s="6"/>
      <c r="X105" s="6"/>
      <c r="Y105" s="6"/>
      <c r="Z105" s="6"/>
      <c r="AA105" s="6"/>
      <c r="AB105" s="6"/>
    </row>
    <row r="106" ht="16.5" customHeight="1">
      <c r="A106" s="6"/>
      <c r="B106" s="6"/>
      <c r="C106" s="6"/>
      <c r="D106" s="6"/>
      <c r="E106" s="6"/>
      <c r="F106" s="6"/>
      <c r="G106" s="6"/>
      <c r="H106" s="93"/>
      <c r="I106" s="93"/>
      <c r="J106" s="93"/>
      <c r="K106" s="93"/>
      <c r="L106" s="93"/>
      <c r="M106" s="6"/>
      <c r="N106" s="6"/>
      <c r="O106" s="6"/>
      <c r="P106" s="6"/>
      <c r="Q106" s="6"/>
      <c r="R106" s="6"/>
      <c r="S106" s="6"/>
      <c r="T106" s="6"/>
      <c r="U106" s="6"/>
      <c r="V106" s="6"/>
      <c r="W106" s="6"/>
      <c r="X106" s="6"/>
      <c r="Y106" s="6"/>
      <c r="Z106" s="6"/>
      <c r="AA106" s="6"/>
      <c r="AB106" s="6"/>
    </row>
    <row r="107" ht="16.5" customHeight="1">
      <c r="A107" s="6"/>
      <c r="B107" s="6"/>
      <c r="C107" s="6"/>
      <c r="D107" s="6"/>
      <c r="E107" s="6"/>
      <c r="F107" s="6"/>
      <c r="G107" s="6"/>
      <c r="H107" s="93"/>
      <c r="I107" s="93"/>
      <c r="J107" s="93"/>
      <c r="K107" s="93"/>
      <c r="L107" s="93"/>
      <c r="M107" s="6"/>
      <c r="N107" s="6"/>
      <c r="O107" s="6"/>
      <c r="P107" s="6"/>
      <c r="Q107" s="6"/>
      <c r="R107" s="6"/>
      <c r="S107" s="6"/>
      <c r="T107" s="6"/>
      <c r="U107" s="6"/>
      <c r="V107" s="6"/>
      <c r="W107" s="6"/>
      <c r="X107" s="6"/>
      <c r="Y107" s="6"/>
      <c r="Z107" s="6"/>
      <c r="AA107" s="6"/>
      <c r="AB107" s="6"/>
    </row>
    <row r="108" ht="16.5" customHeight="1">
      <c r="A108" s="6"/>
      <c r="B108" s="6"/>
      <c r="C108" s="6"/>
      <c r="D108" s="6"/>
      <c r="E108" s="6"/>
      <c r="F108" s="6"/>
      <c r="G108" s="6"/>
      <c r="H108" s="93"/>
      <c r="I108" s="93"/>
      <c r="J108" s="93"/>
      <c r="K108" s="93"/>
      <c r="L108" s="93"/>
      <c r="M108" s="6"/>
      <c r="N108" s="6"/>
      <c r="O108" s="6"/>
      <c r="P108" s="6"/>
      <c r="Q108" s="6"/>
      <c r="R108" s="6"/>
      <c r="S108" s="6"/>
      <c r="T108" s="6"/>
      <c r="U108" s="6"/>
      <c r="V108" s="6"/>
      <c r="W108" s="6"/>
      <c r="X108" s="6"/>
      <c r="Y108" s="6"/>
      <c r="Z108" s="6"/>
      <c r="AA108" s="6"/>
      <c r="AB108" s="6"/>
    </row>
    <row r="109" ht="16.5" customHeight="1">
      <c r="A109" s="6"/>
      <c r="B109" s="6"/>
      <c r="C109" s="6"/>
      <c r="D109" s="6"/>
      <c r="E109" s="6"/>
      <c r="F109" s="6"/>
      <c r="G109" s="6"/>
      <c r="H109" s="93"/>
      <c r="I109" s="93"/>
      <c r="J109" s="93"/>
      <c r="K109" s="93"/>
      <c r="L109" s="93"/>
      <c r="M109" s="6"/>
      <c r="N109" s="6"/>
      <c r="O109" s="6"/>
      <c r="P109" s="6"/>
      <c r="Q109" s="6"/>
      <c r="R109" s="6"/>
      <c r="S109" s="6"/>
      <c r="T109" s="6"/>
      <c r="U109" s="6"/>
      <c r="V109" s="6"/>
      <c r="W109" s="6"/>
      <c r="X109" s="6"/>
      <c r="Y109" s="6"/>
      <c r="Z109" s="6"/>
      <c r="AA109" s="6"/>
      <c r="AB109" s="6"/>
    </row>
    <row r="110" ht="16.5" customHeight="1">
      <c r="A110" s="6"/>
      <c r="B110" s="6"/>
      <c r="C110" s="6"/>
      <c r="D110" s="6"/>
      <c r="E110" s="6"/>
      <c r="F110" s="6"/>
      <c r="G110" s="6"/>
      <c r="H110" s="93"/>
      <c r="I110" s="93"/>
      <c r="J110" s="93"/>
      <c r="K110" s="93"/>
      <c r="L110" s="93"/>
      <c r="M110" s="6"/>
      <c r="N110" s="6"/>
      <c r="O110" s="6"/>
      <c r="P110" s="6"/>
      <c r="Q110" s="6"/>
      <c r="R110" s="6"/>
      <c r="S110" s="6"/>
      <c r="T110" s="6"/>
      <c r="U110" s="6"/>
      <c r="V110" s="6"/>
      <c r="W110" s="6"/>
      <c r="X110" s="6"/>
      <c r="Y110" s="6"/>
      <c r="Z110" s="6"/>
      <c r="AA110" s="6"/>
      <c r="AB110" s="6"/>
    </row>
    <row r="111" ht="16.5" customHeight="1">
      <c r="A111" s="6"/>
      <c r="B111" s="6"/>
      <c r="C111" s="6"/>
      <c r="D111" s="6"/>
      <c r="E111" s="6"/>
      <c r="F111" s="6"/>
      <c r="G111" s="6"/>
      <c r="H111" s="93"/>
      <c r="I111" s="93"/>
      <c r="J111" s="93"/>
      <c r="K111" s="93"/>
      <c r="L111" s="93"/>
      <c r="M111" s="6"/>
      <c r="N111" s="6"/>
      <c r="O111" s="6"/>
      <c r="P111" s="6"/>
      <c r="Q111" s="6"/>
      <c r="R111" s="6"/>
      <c r="S111" s="6"/>
      <c r="T111" s="6"/>
      <c r="U111" s="6"/>
      <c r="V111" s="6"/>
      <c r="W111" s="6"/>
      <c r="X111" s="6"/>
      <c r="Y111" s="6"/>
      <c r="Z111" s="6"/>
      <c r="AA111" s="6"/>
      <c r="AB111" s="6"/>
    </row>
    <row r="112" ht="16.5" customHeight="1">
      <c r="A112" s="6"/>
      <c r="B112" s="6"/>
      <c r="C112" s="6"/>
      <c r="D112" s="6"/>
      <c r="E112" s="6"/>
      <c r="F112" s="6"/>
      <c r="G112" s="6"/>
      <c r="H112" s="93"/>
      <c r="I112" s="93"/>
      <c r="J112" s="93"/>
      <c r="K112" s="93"/>
      <c r="L112" s="93"/>
      <c r="M112" s="6"/>
      <c r="N112" s="6"/>
      <c r="O112" s="6"/>
      <c r="P112" s="6"/>
      <c r="Q112" s="6"/>
      <c r="R112" s="6"/>
      <c r="S112" s="6"/>
      <c r="T112" s="6"/>
      <c r="U112" s="6"/>
      <c r="V112" s="6"/>
      <c r="W112" s="6"/>
      <c r="X112" s="6"/>
      <c r="Y112" s="6"/>
      <c r="Z112" s="6"/>
      <c r="AA112" s="6"/>
      <c r="AB112" s="6"/>
    </row>
    <row r="113" ht="16.5" customHeight="1">
      <c r="A113" s="6"/>
      <c r="B113" s="6"/>
      <c r="C113" s="6"/>
      <c r="D113" s="6"/>
      <c r="E113" s="6"/>
      <c r="F113" s="6"/>
      <c r="G113" s="6"/>
      <c r="H113" s="93"/>
      <c r="I113" s="93"/>
      <c r="J113" s="93"/>
      <c r="K113" s="93"/>
      <c r="L113" s="93"/>
      <c r="M113" s="6"/>
      <c r="N113" s="6"/>
      <c r="O113" s="6"/>
      <c r="P113" s="6"/>
      <c r="Q113" s="6"/>
      <c r="R113" s="6"/>
      <c r="S113" s="6"/>
      <c r="T113" s="6"/>
      <c r="U113" s="6"/>
      <c r="V113" s="6"/>
      <c r="W113" s="6"/>
      <c r="X113" s="6"/>
      <c r="Y113" s="6"/>
      <c r="Z113" s="6"/>
      <c r="AA113" s="6"/>
      <c r="AB113" s="6"/>
    </row>
    <row r="114" ht="16.5" customHeight="1">
      <c r="A114" s="6"/>
      <c r="B114" s="6"/>
      <c r="C114" s="6"/>
      <c r="D114" s="6"/>
      <c r="E114" s="6"/>
      <c r="F114" s="6"/>
      <c r="G114" s="6"/>
      <c r="H114" s="93"/>
      <c r="I114" s="93"/>
      <c r="J114" s="93"/>
      <c r="K114" s="93"/>
      <c r="L114" s="93"/>
      <c r="M114" s="6"/>
      <c r="N114" s="6"/>
      <c r="O114" s="6"/>
      <c r="P114" s="6"/>
      <c r="Q114" s="6"/>
      <c r="R114" s="6"/>
      <c r="S114" s="6"/>
      <c r="T114" s="6"/>
      <c r="U114" s="6"/>
      <c r="V114" s="6"/>
      <c r="W114" s="6"/>
      <c r="X114" s="6"/>
      <c r="Y114" s="6"/>
      <c r="Z114" s="6"/>
      <c r="AA114" s="6"/>
      <c r="AB114" s="6"/>
    </row>
    <row r="115" ht="16.5" customHeight="1">
      <c r="A115" s="6"/>
      <c r="B115" s="6"/>
      <c r="C115" s="6"/>
      <c r="D115" s="6"/>
      <c r="E115" s="6"/>
      <c r="F115" s="6"/>
      <c r="G115" s="6"/>
      <c r="H115" s="93"/>
      <c r="I115" s="93"/>
      <c r="J115" s="93"/>
      <c r="K115" s="93"/>
      <c r="L115" s="93"/>
      <c r="M115" s="6"/>
      <c r="N115" s="6"/>
      <c r="O115" s="6"/>
      <c r="P115" s="6"/>
      <c r="Q115" s="6"/>
      <c r="R115" s="6"/>
      <c r="S115" s="6"/>
      <c r="T115" s="6"/>
      <c r="U115" s="6"/>
      <c r="V115" s="6"/>
      <c r="W115" s="6"/>
      <c r="X115" s="6"/>
      <c r="Y115" s="6"/>
      <c r="Z115" s="6"/>
      <c r="AA115" s="6"/>
      <c r="AB115" s="6"/>
    </row>
    <row r="116" ht="16.5" customHeight="1">
      <c r="A116" s="6"/>
      <c r="B116" s="6"/>
      <c r="C116" s="6"/>
      <c r="D116" s="6"/>
      <c r="E116" s="6"/>
      <c r="F116" s="6"/>
      <c r="G116" s="6"/>
      <c r="H116" s="93"/>
      <c r="I116" s="93"/>
      <c r="J116" s="93"/>
      <c r="K116" s="93"/>
      <c r="L116" s="93"/>
      <c r="M116" s="6"/>
      <c r="N116" s="6"/>
      <c r="O116" s="6"/>
      <c r="P116" s="6"/>
      <c r="Q116" s="6"/>
      <c r="R116" s="6"/>
      <c r="S116" s="6"/>
      <c r="T116" s="6"/>
      <c r="U116" s="6"/>
      <c r="V116" s="6"/>
      <c r="W116" s="6"/>
      <c r="X116" s="6"/>
      <c r="Y116" s="6"/>
      <c r="Z116" s="6"/>
      <c r="AA116" s="6"/>
      <c r="AB116" s="6"/>
    </row>
    <row r="117" ht="16.5" customHeight="1">
      <c r="A117" s="6"/>
      <c r="B117" s="6"/>
      <c r="C117" s="6"/>
      <c r="D117" s="6"/>
      <c r="E117" s="6"/>
      <c r="F117" s="6"/>
      <c r="G117" s="6"/>
      <c r="H117" s="93"/>
      <c r="I117" s="93"/>
      <c r="J117" s="93"/>
      <c r="K117" s="93"/>
      <c r="L117" s="93"/>
      <c r="M117" s="6"/>
      <c r="N117" s="6"/>
      <c r="O117" s="6"/>
      <c r="P117" s="6"/>
      <c r="Q117" s="6"/>
      <c r="R117" s="6"/>
      <c r="S117" s="6"/>
      <c r="T117" s="6"/>
      <c r="U117" s="6"/>
      <c r="V117" s="6"/>
      <c r="W117" s="6"/>
      <c r="X117" s="6"/>
      <c r="Y117" s="6"/>
      <c r="Z117" s="6"/>
      <c r="AA117" s="6"/>
      <c r="AB117" s="6"/>
    </row>
    <row r="118" ht="16.5" customHeight="1">
      <c r="A118" s="6"/>
      <c r="B118" s="6"/>
      <c r="C118" s="6"/>
      <c r="D118" s="6"/>
      <c r="E118" s="6"/>
      <c r="F118" s="6"/>
      <c r="G118" s="6"/>
      <c r="H118" s="93"/>
      <c r="I118" s="93"/>
      <c r="J118" s="93"/>
      <c r="K118" s="93"/>
      <c r="L118" s="93"/>
      <c r="M118" s="6"/>
      <c r="N118" s="6"/>
      <c r="O118" s="6"/>
      <c r="P118" s="6"/>
      <c r="Q118" s="6"/>
      <c r="R118" s="6"/>
      <c r="S118" s="6"/>
      <c r="T118" s="6"/>
      <c r="U118" s="6"/>
      <c r="V118" s="6"/>
      <c r="W118" s="6"/>
      <c r="X118" s="6"/>
      <c r="Y118" s="6"/>
      <c r="Z118" s="6"/>
      <c r="AA118" s="6"/>
      <c r="AB118" s="6"/>
    </row>
    <row r="119" ht="16.5" customHeight="1">
      <c r="A119" s="6"/>
      <c r="B119" s="6"/>
      <c r="C119" s="6"/>
      <c r="D119" s="6"/>
      <c r="E119" s="6"/>
      <c r="F119" s="6"/>
      <c r="G119" s="6"/>
      <c r="H119" s="93"/>
      <c r="I119" s="93"/>
      <c r="J119" s="93"/>
      <c r="K119" s="93"/>
      <c r="L119" s="93"/>
      <c r="M119" s="6"/>
      <c r="N119" s="6"/>
      <c r="O119" s="6"/>
      <c r="P119" s="6"/>
      <c r="Q119" s="6"/>
      <c r="R119" s="6"/>
      <c r="S119" s="6"/>
      <c r="T119" s="6"/>
      <c r="U119" s="6"/>
      <c r="V119" s="6"/>
      <c r="W119" s="6"/>
      <c r="X119" s="6"/>
      <c r="Y119" s="6"/>
      <c r="Z119" s="6"/>
      <c r="AA119" s="6"/>
      <c r="AB119" s="6"/>
    </row>
    <row r="120" ht="16.5" customHeight="1">
      <c r="A120" s="6"/>
      <c r="B120" s="6"/>
      <c r="C120" s="6"/>
      <c r="D120" s="6"/>
      <c r="E120" s="6"/>
      <c r="F120" s="6"/>
      <c r="G120" s="6"/>
      <c r="H120" s="93"/>
      <c r="I120" s="93"/>
      <c r="J120" s="93"/>
      <c r="K120" s="93"/>
      <c r="L120" s="93"/>
      <c r="M120" s="6"/>
      <c r="N120" s="6"/>
      <c r="O120" s="6"/>
      <c r="P120" s="6"/>
      <c r="Q120" s="6"/>
      <c r="R120" s="6"/>
      <c r="S120" s="6"/>
      <c r="T120" s="6"/>
      <c r="U120" s="6"/>
      <c r="V120" s="6"/>
      <c r="W120" s="6"/>
      <c r="X120" s="6"/>
      <c r="Y120" s="6"/>
      <c r="Z120" s="6"/>
      <c r="AA120" s="6"/>
      <c r="AB120" s="6"/>
    </row>
    <row r="121" ht="16.5" customHeight="1">
      <c r="A121" s="6"/>
      <c r="B121" s="6"/>
      <c r="C121" s="6"/>
      <c r="D121" s="6"/>
      <c r="E121" s="6"/>
      <c r="F121" s="6"/>
      <c r="G121" s="6"/>
      <c r="H121" s="93"/>
      <c r="I121" s="93"/>
      <c r="J121" s="93"/>
      <c r="K121" s="93"/>
      <c r="L121" s="93"/>
      <c r="M121" s="6"/>
      <c r="N121" s="6"/>
      <c r="O121" s="6"/>
      <c r="P121" s="6"/>
      <c r="Q121" s="6"/>
      <c r="R121" s="6"/>
      <c r="S121" s="6"/>
      <c r="T121" s="6"/>
      <c r="U121" s="6"/>
      <c r="V121" s="6"/>
      <c r="W121" s="6"/>
      <c r="X121" s="6"/>
      <c r="Y121" s="6"/>
      <c r="Z121" s="6"/>
      <c r="AA121" s="6"/>
      <c r="AB121" s="6"/>
    </row>
    <row r="122" ht="16.5" customHeight="1">
      <c r="A122" s="6"/>
      <c r="B122" s="6"/>
      <c r="C122" s="6"/>
      <c r="D122" s="6"/>
      <c r="E122" s="6"/>
      <c r="F122" s="6"/>
      <c r="G122" s="6"/>
      <c r="H122" s="93"/>
      <c r="I122" s="93"/>
      <c r="J122" s="93"/>
      <c r="K122" s="93"/>
      <c r="L122" s="93"/>
      <c r="M122" s="6"/>
      <c r="N122" s="6"/>
      <c r="O122" s="6"/>
      <c r="P122" s="6"/>
      <c r="Q122" s="6"/>
      <c r="R122" s="6"/>
      <c r="S122" s="6"/>
      <c r="T122" s="6"/>
      <c r="U122" s="6"/>
      <c r="V122" s="6"/>
      <c r="W122" s="6"/>
      <c r="X122" s="6"/>
      <c r="Y122" s="6"/>
      <c r="Z122" s="6"/>
      <c r="AA122" s="6"/>
      <c r="AB122" s="6"/>
    </row>
    <row r="123" ht="16.5" customHeight="1">
      <c r="A123" s="6"/>
      <c r="B123" s="6"/>
      <c r="C123" s="6"/>
      <c r="D123" s="6"/>
      <c r="E123" s="6"/>
      <c r="F123" s="6"/>
      <c r="G123" s="6"/>
      <c r="H123" s="93"/>
      <c r="I123" s="93"/>
      <c r="J123" s="93"/>
      <c r="K123" s="93"/>
      <c r="L123" s="93"/>
      <c r="M123" s="6"/>
      <c r="N123" s="6"/>
      <c r="O123" s="6"/>
      <c r="P123" s="6"/>
      <c r="Q123" s="6"/>
      <c r="R123" s="6"/>
      <c r="S123" s="6"/>
      <c r="T123" s="6"/>
      <c r="U123" s="6"/>
      <c r="V123" s="6"/>
      <c r="W123" s="6"/>
      <c r="X123" s="6"/>
      <c r="Y123" s="6"/>
      <c r="Z123" s="6"/>
      <c r="AA123" s="6"/>
      <c r="AB123" s="6"/>
    </row>
    <row r="124" ht="16.5" customHeight="1">
      <c r="A124" s="6"/>
      <c r="B124" s="6"/>
      <c r="C124" s="6"/>
      <c r="D124" s="6"/>
      <c r="E124" s="6"/>
      <c r="F124" s="6"/>
      <c r="G124" s="6"/>
      <c r="H124" s="93"/>
      <c r="I124" s="93"/>
      <c r="J124" s="93"/>
      <c r="K124" s="93"/>
      <c r="L124" s="93"/>
      <c r="M124" s="6"/>
      <c r="N124" s="6"/>
      <c r="O124" s="6"/>
      <c r="P124" s="6"/>
      <c r="Q124" s="6"/>
      <c r="R124" s="6"/>
      <c r="S124" s="6"/>
      <c r="T124" s="6"/>
      <c r="U124" s="6"/>
      <c r="V124" s="6"/>
      <c r="W124" s="6"/>
      <c r="X124" s="6"/>
      <c r="Y124" s="6"/>
      <c r="Z124" s="6"/>
      <c r="AA124" s="6"/>
      <c r="AB124" s="6"/>
    </row>
    <row r="125" ht="16.5" customHeight="1">
      <c r="A125" s="6"/>
      <c r="B125" s="6"/>
      <c r="C125" s="6"/>
      <c r="D125" s="6"/>
      <c r="E125" s="6"/>
      <c r="F125" s="6"/>
      <c r="G125" s="6"/>
      <c r="H125" s="93"/>
      <c r="I125" s="93"/>
      <c r="J125" s="93"/>
      <c r="K125" s="93"/>
      <c r="L125" s="93"/>
      <c r="M125" s="6"/>
      <c r="N125" s="6"/>
      <c r="O125" s="6"/>
      <c r="P125" s="6"/>
      <c r="Q125" s="6"/>
      <c r="R125" s="6"/>
      <c r="S125" s="6"/>
      <c r="T125" s="6"/>
      <c r="U125" s="6"/>
      <c r="V125" s="6"/>
      <c r="W125" s="6"/>
      <c r="X125" s="6"/>
      <c r="Y125" s="6"/>
      <c r="Z125" s="6"/>
      <c r="AA125" s="6"/>
      <c r="AB125" s="6"/>
    </row>
    <row r="126" ht="16.5" customHeight="1">
      <c r="A126" s="6"/>
      <c r="B126" s="6"/>
      <c r="C126" s="6"/>
      <c r="D126" s="6"/>
      <c r="E126" s="6"/>
      <c r="F126" s="6"/>
      <c r="G126" s="6"/>
      <c r="H126" s="93"/>
      <c r="I126" s="93"/>
      <c r="J126" s="93"/>
      <c r="K126" s="93"/>
      <c r="L126" s="93"/>
      <c r="M126" s="6"/>
      <c r="N126" s="6"/>
      <c r="O126" s="6"/>
      <c r="P126" s="6"/>
      <c r="Q126" s="6"/>
      <c r="R126" s="6"/>
      <c r="S126" s="6"/>
      <c r="T126" s="6"/>
      <c r="U126" s="6"/>
      <c r="V126" s="6"/>
      <c r="W126" s="6"/>
      <c r="X126" s="6"/>
      <c r="Y126" s="6"/>
      <c r="Z126" s="6"/>
      <c r="AA126" s="6"/>
      <c r="AB126" s="6"/>
    </row>
    <row r="127" ht="16.5" customHeight="1">
      <c r="A127" s="6"/>
      <c r="B127" s="6"/>
      <c r="C127" s="6"/>
      <c r="D127" s="6"/>
      <c r="E127" s="6"/>
      <c r="F127" s="6"/>
      <c r="G127" s="6"/>
      <c r="H127" s="93"/>
      <c r="I127" s="93"/>
      <c r="J127" s="93"/>
      <c r="K127" s="93"/>
      <c r="L127" s="93"/>
      <c r="M127" s="6"/>
      <c r="N127" s="6"/>
      <c r="O127" s="6"/>
      <c r="P127" s="6"/>
      <c r="Q127" s="6"/>
      <c r="R127" s="6"/>
      <c r="S127" s="6"/>
      <c r="T127" s="6"/>
      <c r="U127" s="6"/>
      <c r="V127" s="6"/>
      <c r="W127" s="6"/>
      <c r="X127" s="6"/>
      <c r="Y127" s="6"/>
      <c r="Z127" s="6"/>
      <c r="AA127" s="6"/>
      <c r="AB127" s="6"/>
    </row>
    <row r="128" ht="16.5" customHeight="1">
      <c r="A128" s="6"/>
      <c r="B128" s="6"/>
      <c r="C128" s="6"/>
      <c r="D128" s="6"/>
      <c r="E128" s="6"/>
      <c r="F128" s="6"/>
      <c r="G128" s="6"/>
      <c r="H128" s="93"/>
      <c r="I128" s="93"/>
      <c r="J128" s="93"/>
      <c r="K128" s="93"/>
      <c r="L128" s="93"/>
      <c r="M128" s="6"/>
      <c r="N128" s="6"/>
      <c r="O128" s="6"/>
      <c r="P128" s="6"/>
      <c r="Q128" s="6"/>
      <c r="R128" s="6"/>
      <c r="S128" s="6"/>
      <c r="T128" s="6"/>
      <c r="U128" s="6"/>
      <c r="V128" s="6"/>
      <c r="W128" s="6"/>
      <c r="X128" s="6"/>
      <c r="Y128" s="6"/>
      <c r="Z128" s="6"/>
      <c r="AA128" s="6"/>
      <c r="AB128" s="6"/>
    </row>
    <row r="129" ht="16.5" customHeight="1">
      <c r="A129" s="6"/>
      <c r="B129" s="6"/>
      <c r="C129" s="6"/>
      <c r="D129" s="6"/>
      <c r="E129" s="6"/>
      <c r="F129" s="6"/>
      <c r="G129" s="6"/>
      <c r="H129" s="93"/>
      <c r="I129" s="93"/>
      <c r="J129" s="93"/>
      <c r="K129" s="93"/>
      <c r="L129" s="93"/>
      <c r="M129" s="6"/>
      <c r="N129" s="6"/>
      <c r="O129" s="6"/>
      <c r="P129" s="6"/>
      <c r="Q129" s="6"/>
      <c r="R129" s="6"/>
      <c r="S129" s="6"/>
      <c r="T129" s="6"/>
      <c r="U129" s="6"/>
      <c r="V129" s="6"/>
      <c r="W129" s="6"/>
      <c r="X129" s="6"/>
      <c r="Y129" s="6"/>
      <c r="Z129" s="6"/>
      <c r="AA129" s="6"/>
      <c r="AB129" s="6"/>
    </row>
    <row r="130" ht="16.5" customHeight="1">
      <c r="A130" s="6"/>
      <c r="B130" s="6"/>
      <c r="C130" s="6"/>
      <c r="D130" s="6"/>
      <c r="E130" s="6"/>
      <c r="F130" s="6"/>
      <c r="G130" s="6"/>
      <c r="H130" s="93"/>
      <c r="I130" s="93"/>
      <c r="J130" s="93"/>
      <c r="K130" s="93"/>
      <c r="L130" s="93"/>
      <c r="M130" s="6"/>
      <c r="N130" s="6"/>
      <c r="O130" s="6"/>
      <c r="P130" s="6"/>
      <c r="Q130" s="6"/>
      <c r="R130" s="6"/>
      <c r="S130" s="6"/>
      <c r="T130" s="6"/>
      <c r="U130" s="6"/>
      <c r="V130" s="6"/>
      <c r="W130" s="6"/>
      <c r="X130" s="6"/>
      <c r="Y130" s="6"/>
      <c r="Z130" s="6"/>
      <c r="AA130" s="6"/>
      <c r="AB130" s="6"/>
    </row>
    <row r="131" ht="16.5" customHeight="1">
      <c r="A131" s="6"/>
      <c r="B131" s="6"/>
      <c r="C131" s="6"/>
      <c r="D131" s="6"/>
      <c r="E131" s="6"/>
      <c r="F131" s="6"/>
      <c r="G131" s="6"/>
      <c r="H131" s="93"/>
      <c r="I131" s="93"/>
      <c r="J131" s="93"/>
      <c r="K131" s="93"/>
      <c r="L131" s="93"/>
      <c r="M131" s="6"/>
      <c r="N131" s="6"/>
      <c r="O131" s="6"/>
      <c r="P131" s="6"/>
      <c r="Q131" s="6"/>
      <c r="R131" s="6"/>
      <c r="S131" s="6"/>
      <c r="T131" s="6"/>
      <c r="U131" s="6"/>
      <c r="V131" s="6"/>
      <c r="W131" s="6"/>
      <c r="X131" s="6"/>
      <c r="Y131" s="6"/>
      <c r="Z131" s="6"/>
      <c r="AA131" s="6"/>
      <c r="AB131" s="6"/>
    </row>
    <row r="132" ht="16.5" customHeight="1">
      <c r="A132" s="6"/>
      <c r="B132" s="6"/>
      <c r="C132" s="6"/>
      <c r="D132" s="6"/>
      <c r="E132" s="6"/>
      <c r="F132" s="6"/>
      <c r="G132" s="6"/>
      <c r="H132" s="93"/>
      <c r="I132" s="93"/>
      <c r="J132" s="93"/>
      <c r="K132" s="93"/>
      <c r="L132" s="93"/>
      <c r="M132" s="6"/>
      <c r="N132" s="6"/>
      <c r="O132" s="6"/>
      <c r="P132" s="6"/>
      <c r="Q132" s="6"/>
      <c r="R132" s="6"/>
      <c r="S132" s="6"/>
      <c r="T132" s="6"/>
      <c r="U132" s="6"/>
      <c r="V132" s="6"/>
      <c r="W132" s="6"/>
      <c r="X132" s="6"/>
      <c r="Y132" s="6"/>
      <c r="Z132" s="6"/>
      <c r="AA132" s="6"/>
      <c r="AB132" s="6"/>
    </row>
    <row r="133" ht="16.5" customHeight="1">
      <c r="A133" s="6"/>
      <c r="B133" s="6"/>
      <c r="C133" s="6"/>
      <c r="D133" s="6"/>
      <c r="E133" s="6"/>
      <c r="F133" s="6"/>
      <c r="G133" s="6"/>
      <c r="H133" s="93"/>
      <c r="I133" s="93"/>
      <c r="J133" s="93"/>
      <c r="K133" s="93"/>
      <c r="L133" s="93"/>
      <c r="M133" s="6"/>
      <c r="N133" s="6"/>
      <c r="O133" s="6"/>
      <c r="P133" s="6"/>
      <c r="Q133" s="6"/>
      <c r="R133" s="6"/>
      <c r="S133" s="6"/>
      <c r="T133" s="6"/>
      <c r="U133" s="6"/>
      <c r="V133" s="6"/>
      <c r="W133" s="6"/>
      <c r="X133" s="6"/>
      <c r="Y133" s="6"/>
      <c r="Z133" s="6"/>
      <c r="AA133" s="6"/>
      <c r="AB133" s="6"/>
    </row>
    <row r="134" ht="16.5" customHeight="1">
      <c r="A134" s="6"/>
      <c r="B134" s="6"/>
      <c r="C134" s="6"/>
      <c r="D134" s="6"/>
      <c r="E134" s="6"/>
      <c r="F134" s="6"/>
      <c r="G134" s="6"/>
      <c r="H134" s="93"/>
      <c r="I134" s="93"/>
      <c r="J134" s="93"/>
      <c r="K134" s="93"/>
      <c r="L134" s="93"/>
      <c r="M134" s="6"/>
      <c r="N134" s="6"/>
      <c r="O134" s="6"/>
      <c r="P134" s="6"/>
      <c r="Q134" s="6"/>
      <c r="R134" s="6"/>
      <c r="S134" s="6"/>
      <c r="T134" s="6"/>
      <c r="U134" s="6"/>
      <c r="V134" s="6"/>
      <c r="W134" s="6"/>
      <c r="X134" s="6"/>
      <c r="Y134" s="6"/>
      <c r="Z134" s="6"/>
      <c r="AA134" s="6"/>
      <c r="AB134" s="6"/>
    </row>
    <row r="135" ht="16.5" customHeight="1">
      <c r="A135" s="6"/>
      <c r="B135" s="6"/>
      <c r="C135" s="6"/>
      <c r="D135" s="6"/>
      <c r="E135" s="6"/>
      <c r="F135" s="6"/>
      <c r="G135" s="6"/>
      <c r="H135" s="93"/>
      <c r="I135" s="93"/>
      <c r="J135" s="93"/>
      <c r="K135" s="93"/>
      <c r="L135" s="93"/>
      <c r="M135" s="6"/>
      <c r="N135" s="6"/>
      <c r="O135" s="6"/>
      <c r="P135" s="6"/>
      <c r="Q135" s="6"/>
      <c r="R135" s="6"/>
      <c r="S135" s="6"/>
      <c r="T135" s="6"/>
      <c r="U135" s="6"/>
      <c r="V135" s="6"/>
      <c r="W135" s="6"/>
      <c r="X135" s="6"/>
      <c r="Y135" s="6"/>
      <c r="Z135" s="6"/>
      <c r="AA135" s="6"/>
      <c r="AB135" s="6"/>
    </row>
    <row r="136" ht="16.5" customHeight="1">
      <c r="A136" s="6"/>
      <c r="B136" s="6"/>
      <c r="C136" s="6"/>
      <c r="D136" s="6"/>
      <c r="E136" s="6"/>
      <c r="F136" s="6"/>
      <c r="G136" s="6"/>
      <c r="H136" s="93"/>
      <c r="I136" s="93"/>
      <c r="J136" s="93"/>
      <c r="K136" s="93"/>
      <c r="L136" s="93"/>
      <c r="M136" s="6"/>
      <c r="N136" s="6"/>
      <c r="O136" s="6"/>
      <c r="P136" s="6"/>
      <c r="Q136" s="6"/>
      <c r="R136" s="6"/>
      <c r="S136" s="6"/>
      <c r="T136" s="6"/>
      <c r="U136" s="6"/>
      <c r="V136" s="6"/>
      <c r="W136" s="6"/>
      <c r="X136" s="6"/>
      <c r="Y136" s="6"/>
      <c r="Z136" s="6"/>
      <c r="AA136" s="6"/>
      <c r="AB136" s="6"/>
    </row>
    <row r="137" ht="16.5" customHeight="1">
      <c r="A137" s="6"/>
      <c r="B137" s="6"/>
      <c r="C137" s="6"/>
      <c r="D137" s="6"/>
      <c r="E137" s="6"/>
      <c r="F137" s="6"/>
      <c r="G137" s="6"/>
      <c r="H137" s="93"/>
      <c r="I137" s="93"/>
      <c r="J137" s="93"/>
      <c r="K137" s="93"/>
      <c r="L137" s="93"/>
      <c r="M137" s="6"/>
      <c r="N137" s="6"/>
      <c r="O137" s="6"/>
      <c r="P137" s="6"/>
      <c r="Q137" s="6"/>
      <c r="R137" s="6"/>
      <c r="S137" s="6"/>
      <c r="T137" s="6"/>
      <c r="U137" s="6"/>
      <c r="V137" s="6"/>
      <c r="W137" s="6"/>
      <c r="X137" s="6"/>
      <c r="Y137" s="6"/>
      <c r="Z137" s="6"/>
      <c r="AA137" s="6"/>
      <c r="AB137" s="6"/>
    </row>
    <row r="138" ht="16.5" customHeight="1">
      <c r="A138" s="6"/>
      <c r="B138" s="6"/>
      <c r="C138" s="6"/>
      <c r="D138" s="6"/>
      <c r="E138" s="6"/>
      <c r="F138" s="6"/>
      <c r="G138" s="6"/>
      <c r="H138" s="93"/>
      <c r="I138" s="93"/>
      <c r="J138" s="93"/>
      <c r="K138" s="93"/>
      <c r="L138" s="93"/>
      <c r="M138" s="6"/>
      <c r="N138" s="6"/>
      <c r="O138" s="6"/>
      <c r="P138" s="6"/>
      <c r="Q138" s="6"/>
      <c r="R138" s="6"/>
      <c r="S138" s="6"/>
      <c r="T138" s="6"/>
      <c r="U138" s="6"/>
      <c r="V138" s="6"/>
      <c r="W138" s="6"/>
      <c r="X138" s="6"/>
      <c r="Y138" s="6"/>
      <c r="Z138" s="6"/>
      <c r="AA138" s="6"/>
      <c r="AB138" s="6"/>
    </row>
    <row r="139" ht="16.5" customHeight="1">
      <c r="A139" s="6"/>
      <c r="B139" s="6"/>
      <c r="C139" s="6"/>
      <c r="D139" s="6"/>
      <c r="E139" s="6"/>
      <c r="F139" s="6"/>
      <c r="G139" s="6"/>
      <c r="H139" s="93"/>
      <c r="I139" s="93"/>
      <c r="J139" s="93"/>
      <c r="K139" s="93"/>
      <c r="L139" s="93"/>
      <c r="M139" s="6"/>
      <c r="N139" s="6"/>
      <c r="O139" s="6"/>
      <c r="P139" s="6"/>
      <c r="Q139" s="6"/>
      <c r="R139" s="6"/>
      <c r="S139" s="6"/>
      <c r="T139" s="6"/>
      <c r="U139" s="6"/>
      <c r="V139" s="6"/>
      <c r="W139" s="6"/>
      <c r="X139" s="6"/>
      <c r="Y139" s="6"/>
      <c r="Z139" s="6"/>
      <c r="AA139" s="6"/>
      <c r="AB139" s="6"/>
    </row>
    <row r="140" ht="16.5" customHeight="1">
      <c r="A140" s="6"/>
      <c r="B140" s="6"/>
      <c r="C140" s="6"/>
      <c r="D140" s="6"/>
      <c r="E140" s="6"/>
      <c r="F140" s="6"/>
      <c r="G140" s="6"/>
      <c r="H140" s="93"/>
      <c r="I140" s="93"/>
      <c r="J140" s="93"/>
      <c r="K140" s="93"/>
      <c r="L140" s="93"/>
      <c r="M140" s="6"/>
      <c r="N140" s="6"/>
      <c r="O140" s="6"/>
      <c r="P140" s="6"/>
      <c r="Q140" s="6"/>
      <c r="R140" s="6"/>
      <c r="S140" s="6"/>
      <c r="T140" s="6"/>
      <c r="U140" s="6"/>
      <c r="V140" s="6"/>
      <c r="W140" s="6"/>
      <c r="X140" s="6"/>
      <c r="Y140" s="6"/>
      <c r="Z140" s="6"/>
      <c r="AA140" s="6"/>
      <c r="AB140" s="6"/>
    </row>
    <row r="141" ht="16.5" customHeight="1">
      <c r="A141" s="6"/>
      <c r="B141" s="6"/>
      <c r="C141" s="6"/>
      <c r="D141" s="6"/>
      <c r="E141" s="6"/>
      <c r="F141" s="6"/>
      <c r="G141" s="6"/>
      <c r="H141" s="93"/>
      <c r="I141" s="93"/>
      <c r="J141" s="93"/>
      <c r="K141" s="93"/>
      <c r="L141" s="93"/>
      <c r="M141" s="6"/>
      <c r="N141" s="6"/>
      <c r="O141" s="6"/>
      <c r="P141" s="6"/>
      <c r="Q141" s="6"/>
      <c r="R141" s="6"/>
      <c r="S141" s="6"/>
      <c r="T141" s="6"/>
      <c r="U141" s="6"/>
      <c r="V141" s="6"/>
      <c r="W141" s="6"/>
      <c r="X141" s="6"/>
      <c r="Y141" s="6"/>
      <c r="Z141" s="6"/>
      <c r="AA141" s="6"/>
      <c r="AB141" s="6"/>
    </row>
    <row r="142" ht="16.5" customHeight="1">
      <c r="A142" s="6"/>
      <c r="B142" s="6"/>
      <c r="C142" s="6"/>
      <c r="D142" s="6"/>
      <c r="E142" s="6"/>
      <c r="F142" s="6"/>
      <c r="G142" s="6"/>
      <c r="H142" s="93"/>
      <c r="I142" s="93"/>
      <c r="J142" s="93"/>
      <c r="K142" s="93"/>
      <c r="L142" s="93"/>
      <c r="M142" s="6"/>
      <c r="N142" s="6"/>
      <c r="O142" s="6"/>
      <c r="P142" s="6"/>
      <c r="Q142" s="6"/>
      <c r="R142" s="6"/>
      <c r="S142" s="6"/>
      <c r="T142" s="6"/>
      <c r="U142" s="6"/>
      <c r="V142" s="6"/>
      <c r="W142" s="6"/>
      <c r="X142" s="6"/>
      <c r="Y142" s="6"/>
      <c r="Z142" s="6"/>
      <c r="AA142" s="6"/>
      <c r="AB142" s="6"/>
    </row>
    <row r="143" ht="16.5" customHeight="1">
      <c r="A143" s="6"/>
      <c r="B143" s="6"/>
      <c r="C143" s="6"/>
      <c r="D143" s="6"/>
      <c r="E143" s="6"/>
      <c r="F143" s="6"/>
      <c r="G143" s="6"/>
      <c r="H143" s="93"/>
      <c r="I143" s="93"/>
      <c r="J143" s="93"/>
      <c r="K143" s="93"/>
      <c r="L143" s="93"/>
      <c r="M143" s="6"/>
      <c r="N143" s="6"/>
      <c r="O143" s="6"/>
      <c r="P143" s="6"/>
      <c r="Q143" s="6"/>
      <c r="R143" s="6"/>
      <c r="S143" s="6"/>
      <c r="T143" s="6"/>
      <c r="U143" s="6"/>
      <c r="V143" s="6"/>
      <c r="W143" s="6"/>
      <c r="X143" s="6"/>
      <c r="Y143" s="6"/>
      <c r="Z143" s="6"/>
      <c r="AA143" s="6"/>
      <c r="AB143" s="6"/>
    </row>
    <row r="144" ht="16.5" customHeight="1">
      <c r="A144" s="6"/>
      <c r="B144" s="6"/>
      <c r="C144" s="6"/>
      <c r="D144" s="6"/>
      <c r="E144" s="6"/>
      <c r="F144" s="6"/>
      <c r="G144" s="6"/>
      <c r="H144" s="93"/>
      <c r="I144" s="93"/>
      <c r="J144" s="93"/>
      <c r="K144" s="93"/>
      <c r="L144" s="93"/>
      <c r="M144" s="6"/>
      <c r="N144" s="6"/>
      <c r="O144" s="6"/>
      <c r="P144" s="6"/>
      <c r="Q144" s="6"/>
      <c r="R144" s="6"/>
      <c r="S144" s="6"/>
      <c r="T144" s="6"/>
      <c r="U144" s="6"/>
      <c r="V144" s="6"/>
      <c r="W144" s="6"/>
      <c r="X144" s="6"/>
      <c r="Y144" s="6"/>
      <c r="Z144" s="6"/>
      <c r="AA144" s="6"/>
      <c r="AB144" s="6"/>
    </row>
    <row r="145" ht="16.5" customHeight="1">
      <c r="A145" s="6"/>
      <c r="B145" s="6"/>
      <c r="C145" s="6"/>
      <c r="D145" s="6"/>
      <c r="E145" s="6"/>
      <c r="F145" s="6"/>
      <c r="G145" s="6"/>
      <c r="H145" s="93"/>
      <c r="I145" s="93"/>
      <c r="J145" s="93"/>
      <c r="K145" s="93"/>
      <c r="L145" s="93"/>
      <c r="M145" s="6"/>
      <c r="N145" s="6"/>
      <c r="O145" s="6"/>
      <c r="P145" s="6"/>
      <c r="Q145" s="6"/>
      <c r="R145" s="6"/>
      <c r="S145" s="6"/>
      <c r="T145" s="6"/>
      <c r="U145" s="6"/>
      <c r="V145" s="6"/>
      <c r="W145" s="6"/>
      <c r="X145" s="6"/>
      <c r="Y145" s="6"/>
      <c r="Z145" s="6"/>
      <c r="AA145" s="6"/>
      <c r="AB145" s="6"/>
    </row>
    <row r="146" ht="16.5" customHeight="1">
      <c r="A146" s="6"/>
      <c r="B146" s="6"/>
      <c r="C146" s="6"/>
      <c r="D146" s="6"/>
      <c r="E146" s="6"/>
      <c r="F146" s="6"/>
      <c r="G146" s="6"/>
      <c r="H146" s="93"/>
      <c r="I146" s="93"/>
      <c r="J146" s="93"/>
      <c r="K146" s="93"/>
      <c r="L146" s="93"/>
      <c r="M146" s="6"/>
      <c r="N146" s="6"/>
      <c r="O146" s="6"/>
      <c r="P146" s="6"/>
      <c r="Q146" s="6"/>
      <c r="R146" s="6"/>
      <c r="S146" s="6"/>
      <c r="T146" s="6"/>
      <c r="U146" s="6"/>
      <c r="V146" s="6"/>
      <c r="W146" s="6"/>
      <c r="X146" s="6"/>
      <c r="Y146" s="6"/>
      <c r="Z146" s="6"/>
      <c r="AA146" s="6"/>
      <c r="AB146" s="6"/>
    </row>
    <row r="147" ht="16.5" customHeight="1">
      <c r="A147" s="6"/>
      <c r="B147" s="6"/>
      <c r="C147" s="6"/>
      <c r="D147" s="6"/>
      <c r="E147" s="6"/>
      <c r="F147" s="6"/>
      <c r="G147" s="6"/>
      <c r="H147" s="93"/>
      <c r="I147" s="93"/>
      <c r="J147" s="93"/>
      <c r="K147" s="93"/>
      <c r="L147" s="93"/>
      <c r="M147" s="6"/>
      <c r="N147" s="6"/>
      <c r="O147" s="6"/>
      <c r="P147" s="6"/>
      <c r="Q147" s="6"/>
      <c r="R147" s="6"/>
      <c r="S147" s="6"/>
      <c r="T147" s="6"/>
      <c r="U147" s="6"/>
      <c r="V147" s="6"/>
      <c r="W147" s="6"/>
      <c r="X147" s="6"/>
      <c r="Y147" s="6"/>
      <c r="Z147" s="6"/>
      <c r="AA147" s="6"/>
      <c r="AB147" s="6"/>
    </row>
    <row r="148" ht="16.5" customHeight="1">
      <c r="A148" s="6"/>
      <c r="B148" s="6"/>
      <c r="C148" s="6"/>
      <c r="D148" s="6"/>
      <c r="E148" s="6"/>
      <c r="F148" s="6"/>
      <c r="G148" s="6"/>
      <c r="H148" s="93"/>
      <c r="I148" s="93"/>
      <c r="J148" s="93"/>
      <c r="K148" s="93"/>
      <c r="L148" s="93"/>
      <c r="M148" s="6"/>
      <c r="N148" s="6"/>
      <c r="O148" s="6"/>
      <c r="P148" s="6"/>
      <c r="Q148" s="6"/>
      <c r="R148" s="6"/>
      <c r="S148" s="6"/>
      <c r="T148" s="6"/>
      <c r="U148" s="6"/>
      <c r="V148" s="6"/>
      <c r="W148" s="6"/>
      <c r="X148" s="6"/>
      <c r="Y148" s="6"/>
      <c r="Z148" s="6"/>
      <c r="AA148" s="6"/>
      <c r="AB148" s="6"/>
    </row>
    <row r="149" ht="16.5" customHeight="1">
      <c r="A149" s="6"/>
      <c r="B149" s="6"/>
      <c r="C149" s="6"/>
      <c r="D149" s="6"/>
      <c r="E149" s="6"/>
      <c r="F149" s="6"/>
      <c r="G149" s="6"/>
      <c r="H149" s="93"/>
      <c r="I149" s="93"/>
      <c r="J149" s="93"/>
      <c r="K149" s="93"/>
      <c r="L149" s="93"/>
      <c r="M149" s="6"/>
      <c r="N149" s="6"/>
      <c r="O149" s="6"/>
      <c r="P149" s="6"/>
      <c r="Q149" s="6"/>
      <c r="R149" s="6"/>
      <c r="S149" s="6"/>
      <c r="T149" s="6"/>
      <c r="U149" s="6"/>
      <c r="V149" s="6"/>
      <c r="W149" s="6"/>
      <c r="X149" s="6"/>
      <c r="Y149" s="6"/>
      <c r="Z149" s="6"/>
      <c r="AA149" s="6"/>
      <c r="AB149" s="6"/>
    </row>
    <row r="150" ht="16.5" customHeight="1">
      <c r="A150" s="6"/>
      <c r="B150" s="6"/>
      <c r="C150" s="6"/>
      <c r="D150" s="6"/>
      <c r="E150" s="6"/>
      <c r="F150" s="6"/>
      <c r="G150" s="6"/>
      <c r="H150" s="93"/>
      <c r="I150" s="93"/>
      <c r="J150" s="93"/>
      <c r="K150" s="93"/>
      <c r="L150" s="93"/>
      <c r="M150" s="6"/>
      <c r="N150" s="6"/>
      <c r="O150" s="6"/>
      <c r="P150" s="6"/>
      <c r="Q150" s="6"/>
      <c r="R150" s="6"/>
      <c r="S150" s="6"/>
      <c r="T150" s="6"/>
      <c r="U150" s="6"/>
      <c r="V150" s="6"/>
      <c r="W150" s="6"/>
      <c r="X150" s="6"/>
      <c r="Y150" s="6"/>
      <c r="Z150" s="6"/>
      <c r="AA150" s="6"/>
      <c r="AB150" s="6"/>
    </row>
    <row r="151" ht="16.5" customHeight="1">
      <c r="A151" s="6"/>
      <c r="B151" s="6"/>
      <c r="C151" s="6"/>
      <c r="D151" s="6"/>
      <c r="E151" s="6"/>
      <c r="F151" s="6"/>
      <c r="G151" s="6"/>
      <c r="H151" s="93"/>
      <c r="I151" s="93"/>
      <c r="J151" s="93"/>
      <c r="K151" s="93"/>
      <c r="L151" s="93"/>
      <c r="M151" s="6"/>
      <c r="N151" s="6"/>
      <c r="O151" s="6"/>
      <c r="P151" s="6"/>
      <c r="Q151" s="6"/>
      <c r="R151" s="6"/>
      <c r="S151" s="6"/>
      <c r="T151" s="6"/>
      <c r="U151" s="6"/>
      <c r="V151" s="6"/>
      <c r="W151" s="6"/>
      <c r="X151" s="6"/>
      <c r="Y151" s="6"/>
      <c r="Z151" s="6"/>
      <c r="AA151" s="6"/>
      <c r="AB151" s="6"/>
    </row>
    <row r="152" ht="16.5" customHeight="1">
      <c r="A152" s="6"/>
      <c r="B152" s="6"/>
      <c r="C152" s="6"/>
      <c r="D152" s="6"/>
      <c r="E152" s="6"/>
      <c r="F152" s="6"/>
      <c r="G152" s="6"/>
      <c r="H152" s="93"/>
      <c r="I152" s="93"/>
      <c r="J152" s="93"/>
      <c r="K152" s="93"/>
      <c r="L152" s="93"/>
      <c r="M152" s="6"/>
      <c r="N152" s="6"/>
      <c r="O152" s="6"/>
      <c r="P152" s="6"/>
      <c r="Q152" s="6"/>
      <c r="R152" s="6"/>
      <c r="S152" s="6"/>
      <c r="T152" s="6"/>
      <c r="U152" s="6"/>
      <c r="V152" s="6"/>
      <c r="W152" s="6"/>
      <c r="X152" s="6"/>
      <c r="Y152" s="6"/>
      <c r="Z152" s="6"/>
      <c r="AA152" s="6"/>
      <c r="AB152" s="6"/>
    </row>
    <row r="153" ht="16.5" customHeight="1">
      <c r="A153" s="6"/>
      <c r="B153" s="6"/>
      <c r="C153" s="6"/>
      <c r="D153" s="6"/>
      <c r="E153" s="6"/>
      <c r="F153" s="6"/>
      <c r="G153" s="6"/>
      <c r="H153" s="93"/>
      <c r="I153" s="93"/>
      <c r="J153" s="93"/>
      <c r="K153" s="93"/>
      <c r="L153" s="93"/>
      <c r="M153" s="6"/>
      <c r="N153" s="6"/>
      <c r="O153" s="6"/>
      <c r="P153" s="6"/>
      <c r="Q153" s="6"/>
      <c r="R153" s="6"/>
      <c r="S153" s="6"/>
      <c r="T153" s="6"/>
      <c r="U153" s="6"/>
      <c r="V153" s="6"/>
      <c r="W153" s="6"/>
      <c r="X153" s="6"/>
      <c r="Y153" s="6"/>
      <c r="Z153" s="6"/>
      <c r="AA153" s="6"/>
      <c r="AB153" s="6"/>
    </row>
    <row r="154" ht="16.5" customHeight="1">
      <c r="A154" s="6"/>
      <c r="B154" s="6"/>
      <c r="C154" s="6"/>
      <c r="D154" s="6"/>
      <c r="E154" s="6"/>
      <c r="F154" s="6"/>
      <c r="G154" s="6"/>
      <c r="H154" s="93"/>
      <c r="I154" s="93"/>
      <c r="J154" s="93"/>
      <c r="K154" s="93"/>
      <c r="L154" s="93"/>
      <c r="M154" s="6"/>
      <c r="N154" s="6"/>
      <c r="O154" s="6"/>
      <c r="P154" s="6"/>
      <c r="Q154" s="6"/>
      <c r="R154" s="6"/>
      <c r="S154" s="6"/>
      <c r="T154" s="6"/>
      <c r="U154" s="6"/>
      <c r="V154" s="6"/>
      <c r="W154" s="6"/>
      <c r="X154" s="6"/>
      <c r="Y154" s="6"/>
      <c r="Z154" s="6"/>
      <c r="AA154" s="6"/>
      <c r="AB154" s="6"/>
    </row>
    <row r="155" ht="16.5" customHeight="1">
      <c r="A155" s="6"/>
      <c r="B155" s="6"/>
      <c r="C155" s="6"/>
      <c r="D155" s="6"/>
      <c r="E155" s="6"/>
      <c r="F155" s="6"/>
      <c r="G155" s="6"/>
      <c r="H155" s="93"/>
      <c r="I155" s="93"/>
      <c r="J155" s="93"/>
      <c r="K155" s="93"/>
      <c r="L155" s="93"/>
      <c r="M155" s="6"/>
      <c r="N155" s="6"/>
      <c r="O155" s="6"/>
      <c r="P155" s="6"/>
      <c r="Q155" s="6"/>
      <c r="R155" s="6"/>
      <c r="S155" s="6"/>
      <c r="T155" s="6"/>
      <c r="U155" s="6"/>
      <c r="V155" s="6"/>
      <c r="W155" s="6"/>
      <c r="X155" s="6"/>
      <c r="Y155" s="6"/>
      <c r="Z155" s="6"/>
      <c r="AA155" s="6"/>
      <c r="AB155" s="6"/>
    </row>
    <row r="156" ht="16.5" customHeight="1">
      <c r="A156" s="6"/>
      <c r="B156" s="6"/>
      <c r="C156" s="6"/>
      <c r="D156" s="6"/>
      <c r="E156" s="6"/>
      <c r="F156" s="6"/>
      <c r="G156" s="6"/>
      <c r="H156" s="93"/>
      <c r="I156" s="93"/>
      <c r="J156" s="93"/>
      <c r="K156" s="93"/>
      <c r="L156" s="93"/>
      <c r="M156" s="6"/>
      <c r="N156" s="6"/>
      <c r="O156" s="6"/>
      <c r="P156" s="6"/>
      <c r="Q156" s="6"/>
      <c r="R156" s="6"/>
      <c r="S156" s="6"/>
      <c r="T156" s="6"/>
      <c r="U156" s="6"/>
      <c r="V156" s="6"/>
      <c r="W156" s="6"/>
      <c r="X156" s="6"/>
      <c r="Y156" s="6"/>
      <c r="Z156" s="6"/>
      <c r="AA156" s="6"/>
      <c r="AB156" s="6"/>
    </row>
    <row r="157" ht="16.5" customHeight="1">
      <c r="A157" s="6"/>
      <c r="B157" s="6"/>
      <c r="C157" s="6"/>
      <c r="D157" s="6"/>
      <c r="E157" s="6"/>
      <c r="F157" s="6"/>
      <c r="G157" s="6"/>
      <c r="H157" s="93"/>
      <c r="I157" s="93"/>
      <c r="J157" s="93"/>
      <c r="K157" s="93"/>
      <c r="L157" s="93"/>
      <c r="M157" s="6"/>
      <c r="N157" s="6"/>
      <c r="O157" s="6"/>
      <c r="P157" s="6"/>
      <c r="Q157" s="6"/>
      <c r="R157" s="6"/>
      <c r="S157" s="6"/>
      <c r="T157" s="6"/>
      <c r="U157" s="6"/>
      <c r="V157" s="6"/>
      <c r="W157" s="6"/>
      <c r="X157" s="6"/>
      <c r="Y157" s="6"/>
      <c r="Z157" s="6"/>
      <c r="AA157" s="6"/>
      <c r="AB157" s="6"/>
    </row>
    <row r="158" ht="16.5" customHeight="1">
      <c r="A158" s="6"/>
      <c r="B158" s="6"/>
      <c r="C158" s="6"/>
      <c r="D158" s="6"/>
      <c r="E158" s="6"/>
      <c r="F158" s="6"/>
      <c r="G158" s="6"/>
      <c r="H158" s="93"/>
      <c r="I158" s="93"/>
      <c r="J158" s="93"/>
      <c r="K158" s="93"/>
      <c r="L158" s="93"/>
      <c r="M158" s="6"/>
      <c r="N158" s="6"/>
      <c r="O158" s="6"/>
      <c r="P158" s="6"/>
      <c r="Q158" s="6"/>
      <c r="R158" s="6"/>
      <c r="S158" s="6"/>
      <c r="T158" s="6"/>
      <c r="U158" s="6"/>
      <c r="V158" s="6"/>
      <c r="W158" s="6"/>
      <c r="X158" s="6"/>
      <c r="Y158" s="6"/>
      <c r="Z158" s="6"/>
      <c r="AA158" s="6"/>
      <c r="AB158" s="6"/>
    </row>
    <row r="159" ht="16.5" customHeight="1">
      <c r="A159" s="6"/>
      <c r="B159" s="6"/>
      <c r="C159" s="6"/>
      <c r="D159" s="6"/>
      <c r="E159" s="6"/>
      <c r="F159" s="6"/>
      <c r="G159" s="6"/>
      <c r="H159" s="93"/>
      <c r="I159" s="93"/>
      <c r="J159" s="93"/>
      <c r="K159" s="93"/>
      <c r="L159" s="93"/>
      <c r="M159" s="6"/>
      <c r="N159" s="6"/>
      <c r="O159" s="6"/>
      <c r="P159" s="6"/>
      <c r="Q159" s="6"/>
      <c r="R159" s="6"/>
      <c r="S159" s="6"/>
      <c r="T159" s="6"/>
      <c r="U159" s="6"/>
      <c r="V159" s="6"/>
      <c r="W159" s="6"/>
      <c r="X159" s="6"/>
      <c r="Y159" s="6"/>
      <c r="Z159" s="6"/>
      <c r="AA159" s="6"/>
      <c r="AB159" s="6"/>
    </row>
    <row r="160" ht="16.5" customHeight="1">
      <c r="A160" s="6"/>
      <c r="B160" s="6"/>
      <c r="C160" s="6"/>
      <c r="D160" s="6"/>
      <c r="E160" s="6"/>
      <c r="F160" s="6"/>
      <c r="G160" s="6"/>
      <c r="H160" s="93"/>
      <c r="I160" s="93"/>
      <c r="J160" s="93"/>
      <c r="K160" s="93"/>
      <c r="L160" s="93"/>
      <c r="M160" s="6"/>
      <c r="N160" s="6"/>
      <c r="O160" s="6"/>
      <c r="P160" s="6"/>
      <c r="Q160" s="6"/>
      <c r="R160" s="6"/>
      <c r="S160" s="6"/>
      <c r="T160" s="6"/>
      <c r="U160" s="6"/>
      <c r="V160" s="6"/>
      <c r="W160" s="6"/>
      <c r="X160" s="6"/>
      <c r="Y160" s="6"/>
      <c r="Z160" s="6"/>
      <c r="AA160" s="6"/>
      <c r="AB160" s="6"/>
    </row>
    <row r="161" ht="16.5" customHeight="1">
      <c r="A161" s="6"/>
      <c r="B161" s="6"/>
      <c r="C161" s="6"/>
      <c r="D161" s="6"/>
      <c r="E161" s="6"/>
      <c r="F161" s="6"/>
      <c r="G161" s="6"/>
      <c r="H161" s="93"/>
      <c r="I161" s="93"/>
      <c r="J161" s="93"/>
      <c r="K161" s="93"/>
      <c r="L161" s="93"/>
      <c r="M161" s="6"/>
      <c r="N161" s="6"/>
      <c r="O161" s="6"/>
      <c r="P161" s="6"/>
      <c r="Q161" s="6"/>
      <c r="R161" s="6"/>
      <c r="S161" s="6"/>
      <c r="T161" s="6"/>
      <c r="U161" s="6"/>
      <c r="V161" s="6"/>
      <c r="W161" s="6"/>
      <c r="X161" s="6"/>
      <c r="Y161" s="6"/>
      <c r="Z161" s="6"/>
      <c r="AA161" s="6"/>
      <c r="AB161" s="6"/>
    </row>
    <row r="162" ht="16.5" customHeight="1">
      <c r="A162" s="6"/>
      <c r="B162" s="6"/>
      <c r="C162" s="6"/>
      <c r="D162" s="6"/>
      <c r="E162" s="6"/>
      <c r="F162" s="6"/>
      <c r="G162" s="6"/>
      <c r="H162" s="93"/>
      <c r="I162" s="93"/>
      <c r="J162" s="93"/>
      <c r="K162" s="93"/>
      <c r="L162" s="93"/>
      <c r="M162" s="6"/>
      <c r="N162" s="6"/>
      <c r="O162" s="6"/>
      <c r="P162" s="6"/>
      <c r="Q162" s="6"/>
      <c r="R162" s="6"/>
      <c r="S162" s="6"/>
      <c r="T162" s="6"/>
      <c r="U162" s="6"/>
      <c r="V162" s="6"/>
      <c r="W162" s="6"/>
      <c r="X162" s="6"/>
      <c r="Y162" s="6"/>
      <c r="Z162" s="6"/>
      <c r="AA162" s="6"/>
      <c r="AB162" s="6"/>
    </row>
    <row r="163" ht="16.5" customHeight="1">
      <c r="A163" s="6"/>
      <c r="B163" s="6"/>
      <c r="C163" s="6"/>
      <c r="D163" s="6"/>
      <c r="E163" s="6"/>
      <c r="F163" s="6"/>
      <c r="G163" s="6"/>
      <c r="H163" s="93"/>
      <c r="I163" s="93"/>
      <c r="J163" s="93"/>
      <c r="K163" s="93"/>
      <c r="L163" s="93"/>
      <c r="M163" s="6"/>
      <c r="N163" s="6"/>
      <c r="O163" s="6"/>
      <c r="P163" s="6"/>
      <c r="Q163" s="6"/>
      <c r="R163" s="6"/>
      <c r="S163" s="6"/>
      <c r="T163" s="6"/>
      <c r="U163" s="6"/>
      <c r="V163" s="6"/>
      <c r="W163" s="6"/>
      <c r="X163" s="6"/>
      <c r="Y163" s="6"/>
      <c r="Z163" s="6"/>
      <c r="AA163" s="6"/>
      <c r="AB163" s="6"/>
    </row>
    <row r="164" ht="16.5" customHeight="1">
      <c r="A164" s="6"/>
      <c r="B164" s="6"/>
      <c r="C164" s="6"/>
      <c r="D164" s="6"/>
      <c r="E164" s="6"/>
      <c r="F164" s="6"/>
      <c r="G164" s="6"/>
      <c r="H164" s="93"/>
      <c r="I164" s="93"/>
      <c r="J164" s="93"/>
      <c r="K164" s="93"/>
      <c r="L164" s="93"/>
      <c r="M164" s="6"/>
      <c r="N164" s="6"/>
      <c r="O164" s="6"/>
      <c r="P164" s="6"/>
      <c r="Q164" s="6"/>
      <c r="R164" s="6"/>
      <c r="S164" s="6"/>
      <c r="T164" s="6"/>
      <c r="U164" s="6"/>
      <c r="V164" s="6"/>
      <c r="W164" s="6"/>
      <c r="X164" s="6"/>
      <c r="Y164" s="6"/>
      <c r="Z164" s="6"/>
      <c r="AA164" s="6"/>
      <c r="AB164" s="6"/>
    </row>
    <row r="165" ht="16.5" customHeight="1">
      <c r="A165" s="6"/>
      <c r="B165" s="6"/>
      <c r="C165" s="6"/>
      <c r="D165" s="6"/>
      <c r="E165" s="6"/>
      <c r="F165" s="6"/>
      <c r="G165" s="6"/>
      <c r="H165" s="93"/>
      <c r="I165" s="93"/>
      <c r="J165" s="93"/>
      <c r="K165" s="93"/>
      <c r="L165" s="93"/>
      <c r="M165" s="6"/>
      <c r="N165" s="6"/>
      <c r="O165" s="6"/>
      <c r="P165" s="6"/>
      <c r="Q165" s="6"/>
      <c r="R165" s="6"/>
      <c r="S165" s="6"/>
      <c r="T165" s="6"/>
      <c r="U165" s="6"/>
      <c r="V165" s="6"/>
      <c r="W165" s="6"/>
      <c r="X165" s="6"/>
      <c r="Y165" s="6"/>
      <c r="Z165" s="6"/>
      <c r="AA165" s="6"/>
      <c r="AB165" s="6"/>
    </row>
    <row r="166" ht="16.5" customHeight="1">
      <c r="A166" s="6"/>
      <c r="B166" s="6"/>
      <c r="C166" s="6"/>
      <c r="D166" s="6"/>
      <c r="E166" s="6"/>
      <c r="F166" s="6"/>
      <c r="G166" s="6"/>
      <c r="H166" s="93"/>
      <c r="I166" s="93"/>
      <c r="J166" s="93"/>
      <c r="K166" s="93"/>
      <c r="L166" s="93"/>
      <c r="M166" s="6"/>
      <c r="N166" s="6"/>
      <c r="O166" s="6"/>
      <c r="P166" s="6"/>
      <c r="Q166" s="6"/>
      <c r="R166" s="6"/>
      <c r="S166" s="6"/>
      <c r="T166" s="6"/>
      <c r="U166" s="6"/>
      <c r="V166" s="6"/>
      <c r="W166" s="6"/>
      <c r="X166" s="6"/>
      <c r="Y166" s="6"/>
      <c r="Z166" s="6"/>
      <c r="AA166" s="6"/>
      <c r="AB166" s="6"/>
    </row>
    <row r="167" ht="16.5" customHeight="1">
      <c r="A167" s="6"/>
      <c r="B167" s="6"/>
      <c r="C167" s="6"/>
      <c r="D167" s="6"/>
      <c r="E167" s="6"/>
      <c r="F167" s="6"/>
      <c r="G167" s="6"/>
      <c r="H167" s="93"/>
      <c r="I167" s="93"/>
      <c r="J167" s="93"/>
      <c r="K167" s="93"/>
      <c r="L167" s="93"/>
      <c r="M167" s="6"/>
      <c r="N167" s="6"/>
      <c r="O167" s="6"/>
      <c r="P167" s="6"/>
      <c r="Q167" s="6"/>
      <c r="R167" s="6"/>
      <c r="S167" s="6"/>
      <c r="T167" s="6"/>
      <c r="U167" s="6"/>
      <c r="V167" s="6"/>
      <c r="W167" s="6"/>
      <c r="X167" s="6"/>
      <c r="Y167" s="6"/>
      <c r="Z167" s="6"/>
      <c r="AA167" s="6"/>
      <c r="AB167" s="6"/>
    </row>
    <row r="168" ht="16.5" customHeight="1">
      <c r="A168" s="6"/>
      <c r="B168" s="6"/>
      <c r="C168" s="6"/>
      <c r="D168" s="6"/>
      <c r="E168" s="6"/>
      <c r="F168" s="6"/>
      <c r="G168" s="6"/>
      <c r="H168" s="93"/>
      <c r="I168" s="93"/>
      <c r="J168" s="93"/>
      <c r="K168" s="93"/>
      <c r="L168" s="93"/>
      <c r="M168" s="6"/>
      <c r="N168" s="6"/>
      <c r="O168" s="6"/>
      <c r="P168" s="6"/>
      <c r="Q168" s="6"/>
      <c r="R168" s="6"/>
      <c r="S168" s="6"/>
      <c r="T168" s="6"/>
      <c r="U168" s="6"/>
      <c r="V168" s="6"/>
      <c r="W168" s="6"/>
      <c r="X168" s="6"/>
      <c r="Y168" s="6"/>
      <c r="Z168" s="6"/>
      <c r="AA168" s="6"/>
      <c r="AB168" s="6"/>
    </row>
    <row r="169" ht="16.5" customHeight="1">
      <c r="A169" s="6"/>
      <c r="B169" s="6"/>
      <c r="C169" s="6"/>
      <c r="D169" s="6"/>
      <c r="E169" s="6"/>
      <c r="F169" s="6"/>
      <c r="G169" s="6"/>
      <c r="H169" s="93"/>
      <c r="I169" s="93"/>
      <c r="J169" s="93"/>
      <c r="K169" s="93"/>
      <c r="L169" s="93"/>
      <c r="M169" s="6"/>
      <c r="N169" s="6"/>
      <c r="O169" s="6"/>
      <c r="P169" s="6"/>
      <c r="Q169" s="6"/>
      <c r="R169" s="6"/>
      <c r="S169" s="6"/>
      <c r="T169" s="6"/>
      <c r="U169" s="6"/>
      <c r="V169" s="6"/>
      <c r="W169" s="6"/>
      <c r="X169" s="6"/>
      <c r="Y169" s="6"/>
      <c r="Z169" s="6"/>
      <c r="AA169" s="6"/>
      <c r="AB169" s="6"/>
    </row>
    <row r="170" ht="16.5" customHeight="1">
      <c r="A170" s="6"/>
      <c r="B170" s="6"/>
      <c r="C170" s="6"/>
      <c r="D170" s="6"/>
      <c r="E170" s="6"/>
      <c r="F170" s="6"/>
      <c r="G170" s="6"/>
      <c r="H170" s="93"/>
      <c r="I170" s="93"/>
      <c r="J170" s="93"/>
      <c r="K170" s="93"/>
      <c r="L170" s="93"/>
      <c r="M170" s="6"/>
      <c r="N170" s="6"/>
      <c r="O170" s="6"/>
      <c r="P170" s="6"/>
      <c r="Q170" s="6"/>
      <c r="R170" s="6"/>
      <c r="S170" s="6"/>
      <c r="T170" s="6"/>
      <c r="U170" s="6"/>
      <c r="V170" s="6"/>
      <c r="W170" s="6"/>
      <c r="X170" s="6"/>
      <c r="Y170" s="6"/>
      <c r="Z170" s="6"/>
      <c r="AA170" s="6"/>
      <c r="AB170" s="6"/>
    </row>
    <row r="171" ht="16.5" customHeight="1">
      <c r="A171" s="6"/>
      <c r="B171" s="6"/>
      <c r="C171" s="6"/>
      <c r="D171" s="6"/>
      <c r="E171" s="6"/>
      <c r="F171" s="6"/>
      <c r="G171" s="6"/>
      <c r="H171" s="93"/>
      <c r="I171" s="93"/>
      <c r="J171" s="93"/>
      <c r="K171" s="93"/>
      <c r="L171" s="93"/>
      <c r="M171" s="6"/>
      <c r="N171" s="6"/>
      <c r="O171" s="6"/>
      <c r="P171" s="6"/>
      <c r="Q171" s="6"/>
      <c r="R171" s="6"/>
      <c r="S171" s="6"/>
      <c r="T171" s="6"/>
      <c r="U171" s="6"/>
      <c r="V171" s="6"/>
      <c r="W171" s="6"/>
      <c r="X171" s="6"/>
      <c r="Y171" s="6"/>
      <c r="Z171" s="6"/>
      <c r="AA171" s="6"/>
      <c r="AB171" s="6"/>
    </row>
    <row r="172" ht="16.5" customHeight="1">
      <c r="A172" s="6"/>
      <c r="B172" s="6"/>
      <c r="C172" s="6"/>
      <c r="D172" s="6"/>
      <c r="E172" s="6"/>
      <c r="F172" s="6"/>
      <c r="G172" s="6"/>
      <c r="H172" s="93"/>
      <c r="I172" s="93"/>
      <c r="J172" s="93"/>
      <c r="K172" s="93"/>
      <c r="L172" s="93"/>
      <c r="M172" s="6"/>
      <c r="N172" s="6"/>
      <c r="O172" s="6"/>
      <c r="P172" s="6"/>
      <c r="Q172" s="6"/>
      <c r="R172" s="6"/>
      <c r="S172" s="6"/>
      <c r="T172" s="6"/>
      <c r="U172" s="6"/>
      <c r="V172" s="6"/>
      <c r="W172" s="6"/>
      <c r="X172" s="6"/>
      <c r="Y172" s="6"/>
      <c r="Z172" s="6"/>
      <c r="AA172" s="6"/>
      <c r="AB172" s="6"/>
    </row>
    <row r="173" ht="16.5" customHeight="1">
      <c r="A173" s="6"/>
      <c r="B173" s="6"/>
      <c r="C173" s="6"/>
      <c r="D173" s="6"/>
      <c r="E173" s="6"/>
      <c r="F173" s="6"/>
      <c r="G173" s="6"/>
      <c r="H173" s="93"/>
      <c r="I173" s="93"/>
      <c r="J173" s="93"/>
      <c r="K173" s="93"/>
      <c r="L173" s="93"/>
      <c r="M173" s="6"/>
      <c r="N173" s="6"/>
      <c r="O173" s="6"/>
      <c r="P173" s="6"/>
      <c r="Q173" s="6"/>
      <c r="R173" s="6"/>
      <c r="S173" s="6"/>
      <c r="T173" s="6"/>
      <c r="U173" s="6"/>
      <c r="V173" s="6"/>
      <c r="W173" s="6"/>
      <c r="X173" s="6"/>
      <c r="Y173" s="6"/>
      <c r="Z173" s="6"/>
      <c r="AA173" s="6"/>
      <c r="AB173" s="6"/>
    </row>
    <row r="174" ht="16.5" customHeight="1">
      <c r="A174" s="6"/>
      <c r="B174" s="6"/>
      <c r="C174" s="6"/>
      <c r="D174" s="6"/>
      <c r="E174" s="6"/>
      <c r="F174" s="6"/>
      <c r="G174" s="6"/>
      <c r="H174" s="93"/>
      <c r="I174" s="93"/>
      <c r="J174" s="93"/>
      <c r="K174" s="93"/>
      <c r="L174" s="93"/>
      <c r="M174" s="6"/>
      <c r="N174" s="6"/>
      <c r="O174" s="6"/>
      <c r="P174" s="6"/>
      <c r="Q174" s="6"/>
      <c r="R174" s="6"/>
      <c r="S174" s="6"/>
      <c r="T174" s="6"/>
      <c r="U174" s="6"/>
      <c r="V174" s="6"/>
      <c r="W174" s="6"/>
      <c r="X174" s="6"/>
      <c r="Y174" s="6"/>
      <c r="Z174" s="6"/>
      <c r="AA174" s="6"/>
      <c r="AB174" s="6"/>
    </row>
    <row r="175" ht="16.5" customHeight="1">
      <c r="A175" s="6"/>
      <c r="B175" s="6"/>
      <c r="C175" s="6"/>
      <c r="D175" s="6"/>
      <c r="E175" s="6"/>
      <c r="F175" s="6"/>
      <c r="G175" s="6"/>
      <c r="H175" s="93"/>
      <c r="I175" s="93"/>
      <c r="J175" s="93"/>
      <c r="K175" s="93"/>
      <c r="L175" s="93"/>
      <c r="M175" s="6"/>
      <c r="N175" s="6"/>
      <c r="O175" s="6"/>
      <c r="P175" s="6"/>
      <c r="Q175" s="6"/>
      <c r="R175" s="6"/>
      <c r="S175" s="6"/>
      <c r="T175" s="6"/>
      <c r="U175" s="6"/>
      <c r="V175" s="6"/>
      <c r="W175" s="6"/>
      <c r="X175" s="6"/>
      <c r="Y175" s="6"/>
      <c r="Z175" s="6"/>
      <c r="AA175" s="6"/>
      <c r="AB175" s="6"/>
    </row>
    <row r="176" ht="16.5" customHeight="1">
      <c r="A176" s="6"/>
      <c r="B176" s="6"/>
      <c r="C176" s="6"/>
      <c r="D176" s="6"/>
      <c r="E176" s="6"/>
      <c r="F176" s="6"/>
      <c r="G176" s="6"/>
      <c r="H176" s="93"/>
      <c r="I176" s="93"/>
      <c r="J176" s="93"/>
      <c r="K176" s="93"/>
      <c r="L176" s="93"/>
      <c r="M176" s="6"/>
      <c r="N176" s="6"/>
      <c r="O176" s="6"/>
      <c r="P176" s="6"/>
      <c r="Q176" s="6"/>
      <c r="R176" s="6"/>
      <c r="S176" s="6"/>
      <c r="T176" s="6"/>
      <c r="U176" s="6"/>
      <c r="V176" s="6"/>
      <c r="W176" s="6"/>
      <c r="X176" s="6"/>
      <c r="Y176" s="6"/>
      <c r="Z176" s="6"/>
      <c r="AA176" s="6"/>
      <c r="AB176" s="6"/>
    </row>
    <row r="177" ht="16.5" customHeight="1">
      <c r="A177" s="6"/>
      <c r="B177" s="6"/>
      <c r="C177" s="6"/>
      <c r="D177" s="6"/>
      <c r="E177" s="6"/>
      <c r="F177" s="6"/>
      <c r="G177" s="6"/>
      <c r="H177" s="93"/>
      <c r="I177" s="93"/>
      <c r="J177" s="93"/>
      <c r="K177" s="93"/>
      <c r="L177" s="93"/>
      <c r="M177" s="6"/>
      <c r="N177" s="6"/>
      <c r="O177" s="6"/>
      <c r="P177" s="6"/>
      <c r="Q177" s="6"/>
      <c r="R177" s="6"/>
      <c r="S177" s="6"/>
      <c r="T177" s="6"/>
      <c r="U177" s="6"/>
      <c r="V177" s="6"/>
      <c r="W177" s="6"/>
      <c r="X177" s="6"/>
      <c r="Y177" s="6"/>
      <c r="Z177" s="6"/>
      <c r="AA177" s="6"/>
      <c r="AB177" s="6"/>
    </row>
    <row r="178" ht="16.5" customHeight="1">
      <c r="A178" s="6"/>
      <c r="B178" s="6"/>
      <c r="C178" s="6"/>
      <c r="D178" s="6"/>
      <c r="E178" s="6"/>
      <c r="F178" s="6"/>
      <c r="G178" s="6"/>
      <c r="H178" s="93"/>
      <c r="I178" s="93"/>
      <c r="J178" s="93"/>
      <c r="K178" s="93"/>
      <c r="L178" s="93"/>
      <c r="M178" s="6"/>
      <c r="N178" s="6"/>
      <c r="O178" s="6"/>
      <c r="P178" s="6"/>
      <c r="Q178" s="6"/>
      <c r="R178" s="6"/>
      <c r="S178" s="6"/>
      <c r="T178" s="6"/>
      <c r="U178" s="6"/>
      <c r="V178" s="6"/>
      <c r="W178" s="6"/>
      <c r="X178" s="6"/>
      <c r="Y178" s="6"/>
      <c r="Z178" s="6"/>
      <c r="AA178" s="6"/>
      <c r="AB178" s="6"/>
    </row>
    <row r="179" ht="16.5" customHeight="1">
      <c r="A179" s="6"/>
      <c r="B179" s="6"/>
      <c r="C179" s="6"/>
      <c r="D179" s="6"/>
      <c r="E179" s="6"/>
      <c r="F179" s="6"/>
      <c r="G179" s="6"/>
      <c r="H179" s="93"/>
      <c r="I179" s="93"/>
      <c r="J179" s="93"/>
      <c r="K179" s="93"/>
      <c r="L179" s="93"/>
      <c r="M179" s="6"/>
      <c r="N179" s="6"/>
      <c r="O179" s="6"/>
      <c r="P179" s="6"/>
      <c r="Q179" s="6"/>
      <c r="R179" s="6"/>
      <c r="S179" s="6"/>
      <c r="T179" s="6"/>
      <c r="U179" s="6"/>
      <c r="V179" s="6"/>
      <c r="W179" s="6"/>
      <c r="X179" s="6"/>
      <c r="Y179" s="6"/>
      <c r="Z179" s="6"/>
      <c r="AA179" s="6"/>
      <c r="AB179" s="6"/>
    </row>
    <row r="180" ht="16.5" customHeight="1">
      <c r="A180" s="6"/>
      <c r="B180" s="6"/>
      <c r="C180" s="6"/>
      <c r="D180" s="6"/>
      <c r="E180" s="6"/>
      <c r="F180" s="6"/>
      <c r="G180" s="6"/>
      <c r="H180" s="93"/>
      <c r="I180" s="93"/>
      <c r="J180" s="93"/>
      <c r="K180" s="93"/>
      <c r="L180" s="93"/>
      <c r="M180" s="6"/>
      <c r="N180" s="6"/>
      <c r="O180" s="6"/>
      <c r="P180" s="6"/>
      <c r="Q180" s="6"/>
      <c r="R180" s="6"/>
      <c r="S180" s="6"/>
      <c r="T180" s="6"/>
      <c r="U180" s="6"/>
      <c r="V180" s="6"/>
      <c r="W180" s="6"/>
      <c r="X180" s="6"/>
      <c r="Y180" s="6"/>
      <c r="Z180" s="6"/>
      <c r="AA180" s="6"/>
      <c r="AB180" s="6"/>
    </row>
    <row r="181" ht="16.5" customHeight="1">
      <c r="A181" s="6"/>
      <c r="B181" s="6"/>
      <c r="C181" s="6"/>
      <c r="D181" s="6"/>
      <c r="E181" s="6"/>
      <c r="F181" s="6"/>
      <c r="G181" s="6"/>
      <c r="H181" s="93"/>
      <c r="I181" s="93"/>
      <c r="J181" s="93"/>
      <c r="K181" s="93"/>
      <c r="L181" s="93"/>
      <c r="M181" s="6"/>
      <c r="N181" s="6"/>
      <c r="O181" s="6"/>
      <c r="P181" s="6"/>
      <c r="Q181" s="6"/>
      <c r="R181" s="6"/>
      <c r="S181" s="6"/>
      <c r="T181" s="6"/>
      <c r="U181" s="6"/>
      <c r="V181" s="6"/>
      <c r="W181" s="6"/>
      <c r="X181" s="6"/>
      <c r="Y181" s="6"/>
      <c r="Z181" s="6"/>
      <c r="AA181" s="6"/>
      <c r="AB181" s="6"/>
    </row>
    <row r="182" ht="16.5" customHeight="1">
      <c r="A182" s="6"/>
      <c r="B182" s="6"/>
      <c r="C182" s="6"/>
      <c r="D182" s="6"/>
      <c r="E182" s="6"/>
      <c r="F182" s="6"/>
      <c r="G182" s="6"/>
      <c r="H182" s="93"/>
      <c r="I182" s="93"/>
      <c r="J182" s="93"/>
      <c r="K182" s="93"/>
      <c r="L182" s="93"/>
      <c r="M182" s="6"/>
      <c r="N182" s="6"/>
      <c r="O182" s="6"/>
      <c r="P182" s="6"/>
      <c r="Q182" s="6"/>
      <c r="R182" s="6"/>
      <c r="S182" s="6"/>
      <c r="T182" s="6"/>
      <c r="U182" s="6"/>
      <c r="V182" s="6"/>
      <c r="W182" s="6"/>
      <c r="X182" s="6"/>
      <c r="Y182" s="6"/>
      <c r="Z182" s="6"/>
      <c r="AA182" s="6"/>
      <c r="AB182" s="6"/>
    </row>
    <row r="183" ht="16.5" customHeight="1">
      <c r="A183" s="6"/>
      <c r="B183" s="6"/>
      <c r="C183" s="6"/>
      <c r="D183" s="6"/>
      <c r="E183" s="6"/>
      <c r="F183" s="6"/>
      <c r="G183" s="6"/>
      <c r="H183" s="93"/>
      <c r="I183" s="93"/>
      <c r="J183" s="93"/>
      <c r="K183" s="93"/>
      <c r="L183" s="93"/>
      <c r="M183" s="6"/>
      <c r="N183" s="6"/>
      <c r="O183" s="6"/>
      <c r="P183" s="6"/>
      <c r="Q183" s="6"/>
      <c r="R183" s="6"/>
      <c r="S183" s="6"/>
      <c r="T183" s="6"/>
      <c r="U183" s="6"/>
      <c r="V183" s="6"/>
      <c r="W183" s="6"/>
      <c r="X183" s="6"/>
      <c r="Y183" s="6"/>
      <c r="Z183" s="6"/>
      <c r="AA183" s="6"/>
      <c r="AB183" s="6"/>
    </row>
    <row r="184" ht="16.5" customHeight="1">
      <c r="A184" s="6"/>
      <c r="B184" s="6"/>
      <c r="C184" s="6"/>
      <c r="D184" s="6"/>
      <c r="E184" s="6"/>
      <c r="F184" s="6"/>
      <c r="G184" s="6"/>
      <c r="H184" s="93"/>
      <c r="I184" s="93"/>
      <c r="J184" s="93"/>
      <c r="K184" s="93"/>
      <c r="L184" s="93"/>
      <c r="M184" s="6"/>
      <c r="N184" s="6"/>
      <c r="O184" s="6"/>
      <c r="P184" s="6"/>
      <c r="Q184" s="6"/>
      <c r="R184" s="6"/>
      <c r="S184" s="6"/>
      <c r="T184" s="6"/>
      <c r="U184" s="6"/>
      <c r="V184" s="6"/>
      <c r="W184" s="6"/>
      <c r="X184" s="6"/>
      <c r="Y184" s="6"/>
      <c r="Z184" s="6"/>
      <c r="AA184" s="6"/>
      <c r="AB184" s="6"/>
    </row>
    <row r="185" ht="16.5" customHeight="1">
      <c r="A185" s="6"/>
      <c r="B185" s="6"/>
      <c r="C185" s="6"/>
      <c r="D185" s="6"/>
      <c r="E185" s="6"/>
      <c r="F185" s="6"/>
      <c r="G185" s="6"/>
      <c r="H185" s="93"/>
      <c r="I185" s="93"/>
      <c r="J185" s="93"/>
      <c r="K185" s="93"/>
      <c r="L185" s="93"/>
      <c r="M185" s="6"/>
      <c r="N185" s="6"/>
      <c r="O185" s="6"/>
      <c r="P185" s="6"/>
      <c r="Q185" s="6"/>
      <c r="R185" s="6"/>
      <c r="S185" s="6"/>
      <c r="T185" s="6"/>
      <c r="U185" s="6"/>
      <c r="V185" s="6"/>
      <c r="W185" s="6"/>
      <c r="X185" s="6"/>
      <c r="Y185" s="6"/>
      <c r="Z185" s="6"/>
      <c r="AA185" s="6"/>
      <c r="AB185" s="6"/>
    </row>
    <row r="186" ht="16.5" customHeight="1">
      <c r="A186" s="6"/>
      <c r="B186" s="6"/>
      <c r="C186" s="6"/>
      <c r="D186" s="6"/>
      <c r="E186" s="6"/>
      <c r="F186" s="6"/>
      <c r="G186" s="6"/>
      <c r="H186" s="93"/>
      <c r="I186" s="93"/>
      <c r="J186" s="93"/>
      <c r="K186" s="93"/>
      <c r="L186" s="93"/>
      <c r="M186" s="6"/>
      <c r="N186" s="6"/>
      <c r="O186" s="6"/>
      <c r="P186" s="6"/>
      <c r="Q186" s="6"/>
      <c r="R186" s="6"/>
      <c r="S186" s="6"/>
      <c r="T186" s="6"/>
      <c r="U186" s="6"/>
      <c r="V186" s="6"/>
      <c r="W186" s="6"/>
      <c r="X186" s="6"/>
      <c r="Y186" s="6"/>
      <c r="Z186" s="6"/>
      <c r="AA186" s="6"/>
      <c r="AB186" s="6"/>
    </row>
    <row r="187" ht="16.5" customHeight="1">
      <c r="A187" s="6"/>
      <c r="B187" s="6"/>
      <c r="C187" s="6"/>
      <c r="D187" s="6"/>
      <c r="E187" s="6"/>
      <c r="F187" s="6"/>
      <c r="G187" s="6"/>
      <c r="H187" s="93"/>
      <c r="I187" s="93"/>
      <c r="J187" s="93"/>
      <c r="K187" s="93"/>
      <c r="L187" s="93"/>
      <c r="M187" s="6"/>
      <c r="N187" s="6"/>
      <c r="O187" s="6"/>
      <c r="P187" s="6"/>
      <c r="Q187" s="6"/>
      <c r="R187" s="6"/>
      <c r="S187" s="6"/>
      <c r="T187" s="6"/>
      <c r="U187" s="6"/>
      <c r="V187" s="6"/>
      <c r="W187" s="6"/>
      <c r="X187" s="6"/>
      <c r="Y187" s="6"/>
      <c r="Z187" s="6"/>
      <c r="AA187" s="6"/>
      <c r="AB187" s="6"/>
    </row>
    <row r="188" ht="16.5" customHeight="1">
      <c r="A188" s="6"/>
      <c r="B188" s="6"/>
      <c r="C188" s="6"/>
      <c r="D188" s="6"/>
      <c r="E188" s="6"/>
      <c r="F188" s="6"/>
      <c r="G188" s="6"/>
      <c r="H188" s="93"/>
      <c r="I188" s="93"/>
      <c r="J188" s="93"/>
      <c r="K188" s="93"/>
      <c r="L188" s="93"/>
      <c r="M188" s="6"/>
      <c r="N188" s="6"/>
      <c r="O188" s="6"/>
      <c r="P188" s="6"/>
      <c r="Q188" s="6"/>
      <c r="R188" s="6"/>
      <c r="S188" s="6"/>
      <c r="T188" s="6"/>
      <c r="U188" s="6"/>
      <c r="V188" s="6"/>
      <c r="W188" s="6"/>
      <c r="X188" s="6"/>
      <c r="Y188" s="6"/>
      <c r="Z188" s="6"/>
      <c r="AA188" s="6"/>
      <c r="AB188" s="6"/>
    </row>
    <row r="189" ht="16.5" customHeight="1">
      <c r="A189" s="6"/>
      <c r="B189" s="6"/>
      <c r="C189" s="6"/>
      <c r="D189" s="6"/>
      <c r="E189" s="6"/>
      <c r="F189" s="6"/>
      <c r="G189" s="6"/>
      <c r="H189" s="93"/>
      <c r="I189" s="93"/>
      <c r="J189" s="93"/>
      <c r="K189" s="93"/>
      <c r="L189" s="93"/>
      <c r="M189" s="6"/>
      <c r="N189" s="6"/>
      <c r="O189" s="6"/>
      <c r="P189" s="6"/>
      <c r="Q189" s="6"/>
      <c r="R189" s="6"/>
      <c r="S189" s="6"/>
      <c r="T189" s="6"/>
      <c r="U189" s="6"/>
      <c r="V189" s="6"/>
      <c r="W189" s="6"/>
      <c r="X189" s="6"/>
      <c r="Y189" s="6"/>
      <c r="Z189" s="6"/>
      <c r="AA189" s="6"/>
      <c r="AB189" s="6"/>
    </row>
    <row r="190" ht="16.5" customHeight="1">
      <c r="A190" s="6"/>
      <c r="B190" s="6"/>
      <c r="C190" s="6"/>
      <c r="D190" s="6"/>
      <c r="E190" s="6"/>
      <c r="F190" s="6"/>
      <c r="G190" s="6"/>
      <c r="H190" s="93"/>
      <c r="I190" s="93"/>
      <c r="J190" s="93"/>
      <c r="K190" s="93"/>
      <c r="L190" s="93"/>
      <c r="M190" s="6"/>
      <c r="N190" s="6"/>
      <c r="O190" s="6"/>
      <c r="P190" s="6"/>
      <c r="Q190" s="6"/>
      <c r="R190" s="6"/>
      <c r="S190" s="6"/>
      <c r="T190" s="6"/>
      <c r="U190" s="6"/>
      <c r="V190" s="6"/>
      <c r="W190" s="6"/>
      <c r="X190" s="6"/>
      <c r="Y190" s="6"/>
      <c r="Z190" s="6"/>
      <c r="AA190" s="6"/>
      <c r="AB190" s="6"/>
    </row>
    <row r="191" ht="16.5" customHeight="1">
      <c r="A191" s="6"/>
      <c r="B191" s="6"/>
      <c r="C191" s="6"/>
      <c r="D191" s="6"/>
      <c r="E191" s="6"/>
      <c r="F191" s="6"/>
      <c r="G191" s="6"/>
      <c r="H191" s="93"/>
      <c r="I191" s="93"/>
      <c r="J191" s="93"/>
      <c r="K191" s="93"/>
      <c r="L191" s="93"/>
      <c r="M191" s="6"/>
      <c r="N191" s="6"/>
      <c r="O191" s="6"/>
      <c r="P191" s="6"/>
      <c r="Q191" s="6"/>
      <c r="R191" s="6"/>
      <c r="S191" s="6"/>
      <c r="T191" s="6"/>
      <c r="U191" s="6"/>
      <c r="V191" s="6"/>
      <c r="W191" s="6"/>
      <c r="X191" s="6"/>
      <c r="Y191" s="6"/>
      <c r="Z191" s="6"/>
      <c r="AA191" s="6"/>
      <c r="AB191" s="6"/>
    </row>
    <row r="192" ht="16.5" customHeight="1">
      <c r="A192" s="6"/>
      <c r="B192" s="6"/>
      <c r="C192" s="6"/>
      <c r="D192" s="6"/>
      <c r="E192" s="6"/>
      <c r="F192" s="6"/>
      <c r="G192" s="6"/>
      <c r="H192" s="93"/>
      <c r="I192" s="93"/>
      <c r="J192" s="93"/>
      <c r="K192" s="93"/>
      <c r="L192" s="93"/>
      <c r="M192" s="6"/>
      <c r="N192" s="6"/>
      <c r="O192" s="6"/>
      <c r="P192" s="6"/>
      <c r="Q192" s="6"/>
      <c r="R192" s="6"/>
      <c r="S192" s="6"/>
      <c r="T192" s="6"/>
      <c r="U192" s="6"/>
      <c r="V192" s="6"/>
      <c r="W192" s="6"/>
      <c r="X192" s="6"/>
      <c r="Y192" s="6"/>
      <c r="Z192" s="6"/>
      <c r="AA192" s="6"/>
      <c r="AB192" s="6"/>
    </row>
    <row r="193" ht="16.5" customHeight="1">
      <c r="A193" s="6"/>
      <c r="B193" s="6"/>
      <c r="C193" s="6"/>
      <c r="D193" s="6"/>
      <c r="E193" s="6"/>
      <c r="F193" s="6"/>
      <c r="G193" s="6"/>
      <c r="H193" s="93"/>
      <c r="I193" s="93"/>
      <c r="J193" s="93"/>
      <c r="K193" s="93"/>
      <c r="L193" s="93"/>
      <c r="M193" s="6"/>
      <c r="N193" s="6"/>
      <c r="O193" s="6"/>
      <c r="P193" s="6"/>
      <c r="Q193" s="6"/>
      <c r="R193" s="6"/>
      <c r="S193" s="6"/>
      <c r="T193" s="6"/>
      <c r="U193" s="6"/>
      <c r="V193" s="6"/>
      <c r="W193" s="6"/>
      <c r="X193" s="6"/>
      <c r="Y193" s="6"/>
      <c r="Z193" s="6"/>
      <c r="AA193" s="6"/>
      <c r="AB193" s="6"/>
    </row>
    <row r="194" ht="16.5" customHeight="1">
      <c r="A194" s="6"/>
      <c r="B194" s="6"/>
      <c r="C194" s="6"/>
      <c r="D194" s="6"/>
      <c r="E194" s="6"/>
      <c r="F194" s="6"/>
      <c r="G194" s="6"/>
      <c r="H194" s="93"/>
      <c r="I194" s="93"/>
      <c r="J194" s="93"/>
      <c r="K194" s="93"/>
      <c r="L194" s="93"/>
      <c r="M194" s="6"/>
      <c r="N194" s="6"/>
      <c r="O194" s="6"/>
      <c r="P194" s="6"/>
      <c r="Q194" s="6"/>
      <c r="R194" s="6"/>
      <c r="S194" s="6"/>
      <c r="T194" s="6"/>
      <c r="U194" s="6"/>
      <c r="V194" s="6"/>
      <c r="W194" s="6"/>
      <c r="X194" s="6"/>
      <c r="Y194" s="6"/>
      <c r="Z194" s="6"/>
      <c r="AA194" s="6"/>
      <c r="AB194" s="6"/>
    </row>
    <row r="195" ht="16.5" customHeight="1">
      <c r="A195" s="6"/>
      <c r="B195" s="6"/>
      <c r="C195" s="6"/>
      <c r="D195" s="6"/>
      <c r="E195" s="6"/>
      <c r="F195" s="6"/>
      <c r="G195" s="6"/>
      <c r="H195" s="93"/>
      <c r="I195" s="93"/>
      <c r="J195" s="93"/>
      <c r="K195" s="93"/>
      <c r="L195" s="93"/>
      <c r="M195" s="6"/>
      <c r="N195" s="6"/>
      <c r="O195" s="6"/>
      <c r="P195" s="6"/>
      <c r="Q195" s="6"/>
      <c r="R195" s="6"/>
      <c r="S195" s="6"/>
      <c r="T195" s="6"/>
      <c r="U195" s="6"/>
      <c r="V195" s="6"/>
      <c r="W195" s="6"/>
      <c r="X195" s="6"/>
      <c r="Y195" s="6"/>
      <c r="Z195" s="6"/>
      <c r="AA195" s="6"/>
      <c r="AB195" s="6"/>
    </row>
    <row r="196" ht="16.5" customHeight="1">
      <c r="A196" s="6"/>
      <c r="B196" s="6"/>
      <c r="C196" s="6"/>
      <c r="D196" s="6"/>
      <c r="E196" s="6"/>
      <c r="F196" s="6"/>
      <c r="G196" s="6"/>
      <c r="H196" s="93"/>
      <c r="I196" s="93"/>
      <c r="J196" s="93"/>
      <c r="K196" s="93"/>
      <c r="L196" s="93"/>
      <c r="M196" s="6"/>
      <c r="N196" s="6"/>
      <c r="O196" s="6"/>
      <c r="P196" s="6"/>
      <c r="Q196" s="6"/>
      <c r="R196" s="6"/>
      <c r="S196" s="6"/>
      <c r="T196" s="6"/>
      <c r="U196" s="6"/>
      <c r="V196" s="6"/>
      <c r="W196" s="6"/>
      <c r="X196" s="6"/>
      <c r="Y196" s="6"/>
      <c r="Z196" s="6"/>
      <c r="AA196" s="6"/>
      <c r="AB196" s="6"/>
    </row>
    <row r="197" ht="16.5" customHeight="1">
      <c r="A197" s="6"/>
      <c r="B197" s="6"/>
      <c r="C197" s="6"/>
      <c r="D197" s="6"/>
      <c r="E197" s="6"/>
      <c r="F197" s="6"/>
      <c r="G197" s="6"/>
      <c r="H197" s="93"/>
      <c r="I197" s="93"/>
      <c r="J197" s="93"/>
      <c r="K197" s="93"/>
      <c r="L197" s="93"/>
      <c r="M197" s="6"/>
      <c r="N197" s="6"/>
      <c r="O197" s="6"/>
      <c r="P197" s="6"/>
      <c r="Q197" s="6"/>
      <c r="R197" s="6"/>
      <c r="S197" s="6"/>
      <c r="T197" s="6"/>
      <c r="U197" s="6"/>
      <c r="V197" s="6"/>
      <c r="W197" s="6"/>
      <c r="X197" s="6"/>
      <c r="Y197" s="6"/>
      <c r="Z197" s="6"/>
      <c r="AA197" s="6"/>
      <c r="AB197" s="6"/>
    </row>
    <row r="198" ht="16.5" customHeight="1">
      <c r="A198" s="6"/>
      <c r="B198" s="6"/>
      <c r="C198" s="6"/>
      <c r="D198" s="6"/>
      <c r="E198" s="6"/>
      <c r="F198" s="6"/>
      <c r="G198" s="6"/>
      <c r="H198" s="93"/>
      <c r="I198" s="93"/>
      <c r="J198" s="93"/>
      <c r="K198" s="93"/>
      <c r="L198" s="93"/>
      <c r="M198" s="6"/>
      <c r="N198" s="6"/>
      <c r="O198" s="6"/>
      <c r="P198" s="6"/>
      <c r="Q198" s="6"/>
      <c r="R198" s="6"/>
      <c r="S198" s="6"/>
      <c r="T198" s="6"/>
      <c r="U198" s="6"/>
      <c r="V198" s="6"/>
      <c r="W198" s="6"/>
      <c r="X198" s="6"/>
      <c r="Y198" s="6"/>
      <c r="Z198" s="6"/>
      <c r="AA198" s="6"/>
      <c r="AB198" s="6"/>
    </row>
    <row r="199" ht="16.5" customHeight="1">
      <c r="A199" s="6"/>
      <c r="B199" s="6"/>
      <c r="C199" s="6"/>
      <c r="D199" s="6"/>
      <c r="E199" s="6"/>
      <c r="F199" s="6"/>
      <c r="G199" s="6"/>
      <c r="H199" s="93"/>
      <c r="I199" s="93"/>
      <c r="J199" s="93"/>
      <c r="K199" s="93"/>
      <c r="L199" s="93"/>
      <c r="M199" s="6"/>
      <c r="N199" s="6"/>
      <c r="O199" s="6"/>
      <c r="P199" s="6"/>
      <c r="Q199" s="6"/>
      <c r="R199" s="6"/>
      <c r="S199" s="6"/>
      <c r="T199" s="6"/>
      <c r="U199" s="6"/>
      <c r="V199" s="6"/>
      <c r="W199" s="6"/>
      <c r="X199" s="6"/>
      <c r="Y199" s="6"/>
      <c r="Z199" s="6"/>
      <c r="AA199" s="6"/>
      <c r="AB199" s="6"/>
    </row>
    <row r="200" ht="16.5" customHeight="1">
      <c r="A200" s="6"/>
      <c r="B200" s="6"/>
      <c r="C200" s="6"/>
      <c r="D200" s="6"/>
      <c r="E200" s="6"/>
      <c r="F200" s="6"/>
      <c r="G200" s="6"/>
      <c r="H200" s="93"/>
      <c r="I200" s="93"/>
      <c r="J200" s="93"/>
      <c r="K200" s="93"/>
      <c r="L200" s="93"/>
      <c r="M200" s="6"/>
      <c r="N200" s="6"/>
      <c r="O200" s="6"/>
      <c r="P200" s="6"/>
      <c r="Q200" s="6"/>
      <c r="R200" s="6"/>
      <c r="S200" s="6"/>
      <c r="T200" s="6"/>
      <c r="U200" s="6"/>
      <c r="V200" s="6"/>
      <c r="W200" s="6"/>
      <c r="X200" s="6"/>
      <c r="Y200" s="6"/>
      <c r="Z200" s="6"/>
      <c r="AA200" s="6"/>
      <c r="AB200" s="6"/>
    </row>
    <row r="201" ht="16.5" customHeight="1">
      <c r="A201" s="6"/>
      <c r="B201" s="6"/>
      <c r="C201" s="6"/>
      <c r="D201" s="6"/>
      <c r="E201" s="6"/>
      <c r="F201" s="6"/>
      <c r="G201" s="6"/>
      <c r="H201" s="93"/>
      <c r="I201" s="93"/>
      <c r="J201" s="93"/>
      <c r="K201" s="93"/>
      <c r="L201" s="93"/>
      <c r="M201" s="6"/>
      <c r="N201" s="6"/>
      <c r="O201" s="6"/>
      <c r="P201" s="6"/>
      <c r="Q201" s="6"/>
      <c r="R201" s="6"/>
      <c r="S201" s="6"/>
      <c r="T201" s="6"/>
      <c r="U201" s="6"/>
      <c r="V201" s="6"/>
      <c r="W201" s="6"/>
      <c r="X201" s="6"/>
      <c r="Y201" s="6"/>
      <c r="Z201" s="6"/>
      <c r="AA201" s="6"/>
      <c r="AB201" s="6"/>
    </row>
    <row r="202" ht="16.5" customHeight="1">
      <c r="A202" s="6"/>
      <c r="B202" s="6"/>
      <c r="C202" s="6"/>
      <c r="D202" s="6"/>
      <c r="E202" s="6"/>
      <c r="F202" s="6"/>
      <c r="G202" s="6"/>
      <c r="H202" s="93"/>
      <c r="I202" s="93"/>
      <c r="J202" s="93"/>
      <c r="K202" s="93"/>
      <c r="L202" s="93"/>
      <c r="M202" s="6"/>
      <c r="N202" s="6"/>
      <c r="O202" s="6"/>
      <c r="P202" s="6"/>
      <c r="Q202" s="6"/>
      <c r="R202" s="6"/>
      <c r="S202" s="6"/>
      <c r="T202" s="6"/>
      <c r="U202" s="6"/>
      <c r="V202" s="6"/>
      <c r="W202" s="6"/>
      <c r="X202" s="6"/>
      <c r="Y202" s="6"/>
      <c r="Z202" s="6"/>
      <c r="AA202" s="6"/>
      <c r="AB202" s="6"/>
    </row>
    <row r="203" ht="16.5" customHeight="1">
      <c r="A203" s="6"/>
      <c r="B203" s="6"/>
      <c r="C203" s="6"/>
      <c r="D203" s="6"/>
      <c r="E203" s="6"/>
      <c r="F203" s="6"/>
      <c r="G203" s="6"/>
      <c r="H203" s="93"/>
      <c r="I203" s="93"/>
      <c r="J203" s="93"/>
      <c r="K203" s="93"/>
      <c r="L203" s="93"/>
      <c r="M203" s="6"/>
      <c r="N203" s="6"/>
      <c r="O203" s="6"/>
      <c r="P203" s="6"/>
      <c r="Q203" s="6"/>
      <c r="R203" s="6"/>
      <c r="S203" s="6"/>
      <c r="T203" s="6"/>
      <c r="U203" s="6"/>
      <c r="V203" s="6"/>
      <c r="W203" s="6"/>
      <c r="X203" s="6"/>
      <c r="Y203" s="6"/>
      <c r="Z203" s="6"/>
      <c r="AA203" s="6"/>
      <c r="AB203" s="6"/>
    </row>
    <row r="204" ht="16.5" customHeight="1">
      <c r="A204" s="6"/>
      <c r="B204" s="6"/>
      <c r="C204" s="6"/>
      <c r="D204" s="6"/>
      <c r="E204" s="6"/>
      <c r="F204" s="6"/>
      <c r="G204" s="6"/>
      <c r="H204" s="93"/>
      <c r="I204" s="93"/>
      <c r="J204" s="93"/>
      <c r="K204" s="93"/>
      <c r="L204" s="93"/>
      <c r="M204" s="6"/>
      <c r="N204" s="6"/>
      <c r="O204" s="6"/>
      <c r="P204" s="6"/>
      <c r="Q204" s="6"/>
      <c r="R204" s="6"/>
      <c r="S204" s="6"/>
      <c r="T204" s="6"/>
      <c r="U204" s="6"/>
      <c r="V204" s="6"/>
      <c r="W204" s="6"/>
      <c r="X204" s="6"/>
      <c r="Y204" s="6"/>
      <c r="Z204" s="6"/>
      <c r="AA204" s="6"/>
      <c r="AB204" s="6"/>
    </row>
    <row r="205" ht="16.5" customHeight="1">
      <c r="A205" s="6"/>
      <c r="B205" s="6"/>
      <c r="C205" s="6"/>
      <c r="D205" s="6"/>
      <c r="E205" s="6"/>
      <c r="F205" s="6"/>
      <c r="G205" s="6"/>
      <c r="H205" s="93"/>
      <c r="I205" s="93"/>
      <c r="J205" s="93"/>
      <c r="K205" s="93"/>
      <c r="L205" s="93"/>
      <c r="M205" s="6"/>
      <c r="N205" s="6"/>
      <c r="O205" s="6"/>
      <c r="P205" s="6"/>
      <c r="Q205" s="6"/>
      <c r="R205" s="6"/>
      <c r="S205" s="6"/>
      <c r="T205" s="6"/>
      <c r="U205" s="6"/>
      <c r="V205" s="6"/>
      <c r="W205" s="6"/>
      <c r="X205" s="6"/>
      <c r="Y205" s="6"/>
      <c r="Z205" s="6"/>
      <c r="AA205" s="6"/>
      <c r="AB205" s="6"/>
    </row>
    <row r="206" ht="16.5" customHeight="1">
      <c r="A206" s="6"/>
      <c r="B206" s="6"/>
      <c r="C206" s="6"/>
      <c r="D206" s="6"/>
      <c r="E206" s="6"/>
      <c r="F206" s="6"/>
      <c r="G206" s="6"/>
      <c r="H206" s="93"/>
      <c r="I206" s="93"/>
      <c r="J206" s="93"/>
      <c r="K206" s="93"/>
      <c r="L206" s="93"/>
      <c r="M206" s="6"/>
      <c r="N206" s="6"/>
      <c r="O206" s="6"/>
      <c r="P206" s="6"/>
      <c r="Q206" s="6"/>
      <c r="R206" s="6"/>
      <c r="S206" s="6"/>
      <c r="T206" s="6"/>
      <c r="U206" s="6"/>
      <c r="V206" s="6"/>
      <c r="W206" s="6"/>
      <c r="X206" s="6"/>
      <c r="Y206" s="6"/>
      <c r="Z206" s="6"/>
      <c r="AA206" s="6"/>
      <c r="AB206" s="6"/>
    </row>
    <row r="207" ht="16.5" customHeight="1">
      <c r="A207" s="6"/>
      <c r="B207" s="6"/>
      <c r="C207" s="6"/>
      <c r="D207" s="6"/>
      <c r="E207" s="6"/>
      <c r="F207" s="6"/>
      <c r="G207" s="6"/>
      <c r="H207" s="93"/>
      <c r="I207" s="93"/>
      <c r="J207" s="93"/>
      <c r="K207" s="93"/>
      <c r="L207" s="93"/>
      <c r="M207" s="6"/>
      <c r="N207" s="6"/>
      <c r="O207" s="6"/>
      <c r="P207" s="6"/>
      <c r="Q207" s="6"/>
      <c r="R207" s="6"/>
      <c r="S207" s="6"/>
      <c r="T207" s="6"/>
      <c r="U207" s="6"/>
      <c r="V207" s="6"/>
      <c r="W207" s="6"/>
      <c r="X207" s="6"/>
      <c r="Y207" s="6"/>
      <c r="Z207" s="6"/>
      <c r="AA207" s="6"/>
      <c r="AB207" s="6"/>
    </row>
    <row r="208" ht="16.5" customHeight="1">
      <c r="A208" s="6"/>
      <c r="B208" s="6"/>
      <c r="C208" s="6"/>
      <c r="D208" s="6"/>
      <c r="E208" s="6"/>
      <c r="F208" s="6"/>
      <c r="G208" s="6"/>
      <c r="H208" s="93"/>
      <c r="I208" s="93"/>
      <c r="J208" s="93"/>
      <c r="K208" s="93"/>
      <c r="L208" s="93"/>
      <c r="M208" s="6"/>
      <c r="N208" s="6"/>
      <c r="O208" s="6"/>
      <c r="P208" s="6"/>
      <c r="Q208" s="6"/>
      <c r="R208" s="6"/>
      <c r="S208" s="6"/>
      <c r="T208" s="6"/>
      <c r="U208" s="6"/>
      <c r="V208" s="6"/>
      <c r="W208" s="6"/>
      <c r="X208" s="6"/>
      <c r="Y208" s="6"/>
      <c r="Z208" s="6"/>
      <c r="AA208" s="6"/>
      <c r="AB208" s="6"/>
    </row>
    <row r="209" ht="16.5" customHeight="1">
      <c r="A209" s="6"/>
      <c r="B209" s="6"/>
      <c r="C209" s="6"/>
      <c r="D209" s="6"/>
      <c r="E209" s="6"/>
      <c r="F209" s="6"/>
      <c r="G209" s="6"/>
      <c r="H209" s="93"/>
      <c r="I209" s="93"/>
      <c r="J209" s="93"/>
      <c r="K209" s="93"/>
      <c r="L209" s="93"/>
      <c r="M209" s="6"/>
      <c r="N209" s="6"/>
      <c r="O209" s="6"/>
      <c r="P209" s="6"/>
      <c r="Q209" s="6"/>
      <c r="R209" s="6"/>
      <c r="S209" s="6"/>
      <c r="T209" s="6"/>
      <c r="U209" s="6"/>
      <c r="V209" s="6"/>
      <c r="W209" s="6"/>
      <c r="X209" s="6"/>
      <c r="Y209" s="6"/>
      <c r="Z209" s="6"/>
      <c r="AA209" s="6"/>
      <c r="AB209" s="6"/>
    </row>
    <row r="210" ht="16.5" customHeight="1">
      <c r="A210" s="6"/>
      <c r="B210" s="6"/>
      <c r="C210" s="6"/>
      <c r="D210" s="6"/>
      <c r="E210" s="6"/>
      <c r="F210" s="6"/>
      <c r="G210" s="6"/>
      <c r="H210" s="93"/>
      <c r="I210" s="93"/>
      <c r="J210" s="93"/>
      <c r="K210" s="93"/>
      <c r="L210" s="93"/>
      <c r="M210" s="6"/>
      <c r="N210" s="6"/>
      <c r="O210" s="6"/>
      <c r="P210" s="6"/>
      <c r="Q210" s="6"/>
      <c r="R210" s="6"/>
      <c r="S210" s="6"/>
      <c r="T210" s="6"/>
      <c r="U210" s="6"/>
      <c r="V210" s="6"/>
      <c r="W210" s="6"/>
      <c r="X210" s="6"/>
      <c r="Y210" s="6"/>
      <c r="Z210" s="6"/>
      <c r="AA210" s="6"/>
      <c r="AB210" s="6"/>
    </row>
    <row r="211" ht="16.5" customHeight="1">
      <c r="A211" s="6"/>
      <c r="B211" s="6"/>
      <c r="C211" s="6"/>
      <c r="D211" s="6"/>
      <c r="E211" s="6"/>
      <c r="F211" s="6"/>
      <c r="G211" s="6"/>
      <c r="H211" s="93"/>
      <c r="I211" s="93"/>
      <c r="J211" s="93"/>
      <c r="K211" s="93"/>
      <c r="L211" s="93"/>
      <c r="M211" s="6"/>
      <c r="N211" s="6"/>
      <c r="O211" s="6"/>
      <c r="P211" s="6"/>
      <c r="Q211" s="6"/>
      <c r="R211" s="6"/>
      <c r="S211" s="6"/>
      <c r="T211" s="6"/>
      <c r="U211" s="6"/>
      <c r="V211" s="6"/>
      <c r="W211" s="6"/>
      <c r="X211" s="6"/>
      <c r="Y211" s="6"/>
      <c r="Z211" s="6"/>
      <c r="AA211" s="6"/>
      <c r="AB211" s="6"/>
    </row>
    <row r="212" ht="16.5" customHeight="1">
      <c r="A212" s="6"/>
      <c r="B212" s="6"/>
      <c r="C212" s="6"/>
      <c r="D212" s="6"/>
      <c r="E212" s="6"/>
      <c r="F212" s="6"/>
      <c r="G212" s="6"/>
      <c r="H212" s="93"/>
      <c r="I212" s="93"/>
      <c r="J212" s="93"/>
      <c r="K212" s="93"/>
      <c r="L212" s="93"/>
      <c r="M212" s="6"/>
      <c r="N212" s="6"/>
      <c r="O212" s="6"/>
      <c r="P212" s="6"/>
      <c r="Q212" s="6"/>
      <c r="R212" s="6"/>
      <c r="S212" s="6"/>
      <c r="T212" s="6"/>
      <c r="U212" s="6"/>
      <c r="V212" s="6"/>
      <c r="W212" s="6"/>
      <c r="X212" s="6"/>
      <c r="Y212" s="6"/>
      <c r="Z212" s="6"/>
      <c r="AA212" s="6"/>
      <c r="AB212" s="6"/>
    </row>
    <row r="213" ht="16.5" customHeight="1">
      <c r="A213" s="6"/>
      <c r="B213" s="6"/>
      <c r="C213" s="6"/>
      <c r="D213" s="6"/>
      <c r="E213" s="6"/>
      <c r="F213" s="6"/>
      <c r="G213" s="6"/>
      <c r="H213" s="93"/>
      <c r="I213" s="93"/>
      <c r="J213" s="93"/>
      <c r="K213" s="93"/>
      <c r="L213" s="93"/>
      <c r="M213" s="6"/>
      <c r="N213" s="6"/>
      <c r="O213" s="6"/>
      <c r="P213" s="6"/>
      <c r="Q213" s="6"/>
      <c r="R213" s="6"/>
      <c r="S213" s="6"/>
      <c r="T213" s="6"/>
      <c r="U213" s="6"/>
      <c r="V213" s="6"/>
      <c r="W213" s="6"/>
      <c r="X213" s="6"/>
      <c r="Y213" s="6"/>
      <c r="Z213" s="6"/>
      <c r="AA213" s="6"/>
      <c r="AB213" s="6"/>
    </row>
    <row r="214" ht="16.5" customHeight="1">
      <c r="A214" s="6"/>
      <c r="B214" s="6"/>
      <c r="C214" s="6"/>
      <c r="D214" s="6"/>
      <c r="E214" s="6"/>
      <c r="F214" s="6"/>
      <c r="G214" s="6"/>
      <c r="H214" s="93"/>
      <c r="I214" s="93"/>
      <c r="J214" s="93"/>
      <c r="K214" s="93"/>
      <c r="L214" s="93"/>
      <c r="M214" s="6"/>
      <c r="N214" s="6"/>
      <c r="O214" s="6"/>
      <c r="P214" s="6"/>
      <c r="Q214" s="6"/>
      <c r="R214" s="6"/>
      <c r="S214" s="6"/>
      <c r="T214" s="6"/>
      <c r="U214" s="6"/>
      <c r="V214" s="6"/>
      <c r="W214" s="6"/>
      <c r="X214" s="6"/>
      <c r="Y214" s="6"/>
      <c r="Z214" s="6"/>
      <c r="AA214" s="6"/>
      <c r="AB214" s="6"/>
    </row>
    <row r="215" ht="16.5" customHeight="1">
      <c r="A215" s="6"/>
      <c r="B215" s="6"/>
      <c r="C215" s="6"/>
      <c r="D215" s="6"/>
      <c r="E215" s="6"/>
      <c r="F215" s="6"/>
      <c r="G215" s="6"/>
      <c r="H215" s="93"/>
      <c r="I215" s="93"/>
      <c r="J215" s="93"/>
      <c r="K215" s="93"/>
      <c r="L215" s="93"/>
      <c r="M215" s="6"/>
      <c r="N215" s="6"/>
      <c r="O215" s="6"/>
      <c r="P215" s="6"/>
      <c r="Q215" s="6"/>
      <c r="R215" s="6"/>
      <c r="S215" s="6"/>
      <c r="T215" s="6"/>
      <c r="U215" s="6"/>
      <c r="V215" s="6"/>
      <c r="W215" s="6"/>
      <c r="X215" s="6"/>
      <c r="Y215" s="6"/>
      <c r="Z215" s="6"/>
      <c r="AA215" s="6"/>
      <c r="AB215" s="6"/>
    </row>
    <row r="216" ht="16.5" customHeight="1">
      <c r="A216" s="6"/>
      <c r="B216" s="6"/>
      <c r="C216" s="6"/>
      <c r="D216" s="6"/>
      <c r="E216" s="6"/>
      <c r="F216" s="6"/>
      <c r="G216" s="6"/>
      <c r="H216" s="93"/>
      <c r="I216" s="93"/>
      <c r="J216" s="93"/>
      <c r="K216" s="93"/>
      <c r="L216" s="93"/>
      <c r="M216" s="6"/>
      <c r="N216" s="6"/>
      <c r="O216" s="6"/>
      <c r="P216" s="6"/>
      <c r="Q216" s="6"/>
      <c r="R216" s="6"/>
      <c r="S216" s="6"/>
      <c r="T216" s="6"/>
      <c r="U216" s="6"/>
      <c r="V216" s="6"/>
      <c r="W216" s="6"/>
      <c r="X216" s="6"/>
      <c r="Y216" s="6"/>
      <c r="Z216" s="6"/>
      <c r="AA216" s="6"/>
      <c r="AB216" s="6"/>
    </row>
    <row r="217" ht="16.5" customHeight="1">
      <c r="A217" s="6"/>
      <c r="B217" s="6"/>
      <c r="C217" s="6"/>
      <c r="D217" s="6"/>
      <c r="E217" s="6"/>
      <c r="F217" s="6"/>
      <c r="G217" s="6"/>
      <c r="H217" s="93"/>
      <c r="I217" s="93"/>
      <c r="J217" s="93"/>
      <c r="K217" s="93"/>
      <c r="L217" s="93"/>
      <c r="M217" s="6"/>
      <c r="N217" s="6"/>
      <c r="O217" s="6"/>
      <c r="P217" s="6"/>
      <c r="Q217" s="6"/>
      <c r="R217" s="6"/>
      <c r="S217" s="6"/>
      <c r="T217" s="6"/>
      <c r="U217" s="6"/>
      <c r="V217" s="6"/>
      <c r="W217" s="6"/>
      <c r="X217" s="6"/>
      <c r="Y217" s="6"/>
      <c r="Z217" s="6"/>
      <c r="AA217" s="6"/>
      <c r="AB217" s="6"/>
    </row>
    <row r="218" ht="16.5" customHeight="1">
      <c r="A218" s="6"/>
      <c r="B218" s="6"/>
      <c r="C218" s="6"/>
      <c r="D218" s="6"/>
      <c r="E218" s="6"/>
      <c r="F218" s="6"/>
      <c r="G218" s="6"/>
      <c r="H218" s="93"/>
      <c r="I218" s="93"/>
      <c r="J218" s="93"/>
      <c r="K218" s="93"/>
      <c r="L218" s="93"/>
      <c r="M218" s="6"/>
      <c r="N218" s="6"/>
      <c r="O218" s="6"/>
      <c r="P218" s="6"/>
      <c r="Q218" s="6"/>
      <c r="R218" s="6"/>
      <c r="S218" s="6"/>
      <c r="T218" s="6"/>
      <c r="U218" s="6"/>
      <c r="V218" s="6"/>
      <c r="W218" s="6"/>
      <c r="X218" s="6"/>
      <c r="Y218" s="6"/>
      <c r="Z218" s="6"/>
      <c r="AA218" s="6"/>
      <c r="AB218" s="6"/>
    </row>
    <row r="219" ht="16.5" customHeight="1">
      <c r="A219" s="6"/>
      <c r="B219" s="6"/>
      <c r="C219" s="6"/>
      <c r="D219" s="6"/>
      <c r="E219" s="6"/>
      <c r="F219" s="6"/>
      <c r="G219" s="6"/>
      <c r="H219" s="93"/>
      <c r="I219" s="93"/>
      <c r="J219" s="93"/>
      <c r="K219" s="93"/>
      <c r="L219" s="93"/>
      <c r="M219" s="6"/>
      <c r="N219" s="6"/>
      <c r="O219" s="6"/>
      <c r="P219" s="6"/>
      <c r="Q219" s="6"/>
      <c r="R219" s="6"/>
      <c r="S219" s="6"/>
      <c r="T219" s="6"/>
      <c r="U219" s="6"/>
      <c r="V219" s="6"/>
      <c r="W219" s="6"/>
      <c r="X219" s="6"/>
      <c r="Y219" s="6"/>
      <c r="Z219" s="6"/>
      <c r="AA219" s="6"/>
      <c r="AB219" s="6"/>
    </row>
    <row r="220" ht="16.5" customHeight="1">
      <c r="A220" s="6"/>
      <c r="B220" s="6"/>
      <c r="C220" s="6"/>
      <c r="D220" s="6"/>
      <c r="E220" s="6"/>
      <c r="F220" s="6"/>
      <c r="G220" s="6"/>
      <c r="H220" s="93"/>
      <c r="I220" s="93"/>
      <c r="J220" s="93"/>
      <c r="K220" s="93"/>
      <c r="L220" s="93"/>
      <c r="M220" s="6"/>
      <c r="N220" s="6"/>
      <c r="O220" s="6"/>
      <c r="P220" s="6"/>
      <c r="Q220" s="6"/>
      <c r="R220" s="6"/>
      <c r="S220" s="6"/>
      <c r="T220" s="6"/>
      <c r="U220" s="6"/>
      <c r="V220" s="6"/>
      <c r="W220" s="6"/>
      <c r="X220" s="6"/>
      <c r="Y220" s="6"/>
      <c r="Z220" s="6"/>
      <c r="AA220" s="6"/>
      <c r="AB220" s="6"/>
    </row>
    <row r="221" ht="16.5" customHeight="1">
      <c r="A221" s="6"/>
      <c r="B221" s="6"/>
      <c r="C221" s="6"/>
      <c r="D221" s="6"/>
      <c r="E221" s="6"/>
      <c r="F221" s="6"/>
      <c r="G221" s="6"/>
      <c r="H221" s="93"/>
      <c r="I221" s="93"/>
      <c r="J221" s="93"/>
      <c r="K221" s="93"/>
      <c r="L221" s="93"/>
      <c r="M221" s="6"/>
      <c r="N221" s="6"/>
      <c r="O221" s="6"/>
      <c r="P221" s="6"/>
      <c r="Q221" s="6"/>
      <c r="R221" s="6"/>
      <c r="S221" s="6"/>
      <c r="T221" s="6"/>
      <c r="U221" s="6"/>
      <c r="V221" s="6"/>
      <c r="W221" s="6"/>
      <c r="X221" s="6"/>
      <c r="Y221" s="6"/>
      <c r="Z221" s="6"/>
      <c r="AA221" s="6"/>
      <c r="AB221" s="6"/>
    </row>
    <row r="222" ht="16.5" customHeight="1">
      <c r="A222" s="6"/>
      <c r="B222" s="6"/>
      <c r="C222" s="6"/>
      <c r="D222" s="6"/>
      <c r="E222" s="6"/>
      <c r="F222" s="6"/>
      <c r="G222" s="6"/>
      <c r="H222" s="93"/>
      <c r="I222" s="93"/>
      <c r="J222" s="93"/>
      <c r="K222" s="93"/>
      <c r="L222" s="93"/>
      <c r="M222" s="6"/>
      <c r="N222" s="6"/>
      <c r="O222" s="6"/>
      <c r="P222" s="6"/>
      <c r="Q222" s="6"/>
      <c r="R222" s="6"/>
      <c r="S222" s="6"/>
      <c r="T222" s="6"/>
      <c r="U222" s="6"/>
      <c r="V222" s="6"/>
      <c r="W222" s="6"/>
      <c r="X222" s="6"/>
      <c r="Y222" s="6"/>
      <c r="Z222" s="6"/>
      <c r="AA222" s="6"/>
      <c r="AB222" s="6"/>
    </row>
    <row r="223" ht="16.5" customHeight="1">
      <c r="A223" s="6"/>
      <c r="B223" s="6"/>
      <c r="C223" s="6"/>
      <c r="D223" s="6"/>
      <c r="E223" s="6"/>
      <c r="F223" s="6"/>
      <c r="G223" s="6"/>
      <c r="H223" s="93"/>
      <c r="I223" s="93"/>
      <c r="J223" s="93"/>
      <c r="K223" s="93"/>
      <c r="L223" s="93"/>
      <c r="M223" s="6"/>
      <c r="N223" s="6"/>
      <c r="O223" s="6"/>
      <c r="P223" s="6"/>
      <c r="Q223" s="6"/>
      <c r="R223" s="6"/>
      <c r="S223" s="6"/>
      <c r="T223" s="6"/>
      <c r="U223" s="6"/>
      <c r="V223" s="6"/>
      <c r="W223" s="6"/>
      <c r="X223" s="6"/>
      <c r="Y223" s="6"/>
      <c r="Z223" s="6"/>
      <c r="AA223" s="6"/>
      <c r="AB223" s="6"/>
    </row>
    <row r="224" ht="16.5" customHeight="1">
      <c r="A224" s="6"/>
      <c r="B224" s="6"/>
      <c r="C224" s="6"/>
      <c r="D224" s="6"/>
      <c r="E224" s="6"/>
      <c r="F224" s="6"/>
      <c r="G224" s="6"/>
      <c r="H224" s="93"/>
      <c r="I224" s="93"/>
      <c r="J224" s="93"/>
      <c r="K224" s="93"/>
      <c r="L224" s="93"/>
      <c r="M224" s="6"/>
      <c r="N224" s="6"/>
      <c r="O224" s="6"/>
      <c r="P224" s="6"/>
      <c r="Q224" s="6"/>
      <c r="R224" s="6"/>
      <c r="S224" s="6"/>
      <c r="T224" s="6"/>
      <c r="U224" s="6"/>
      <c r="V224" s="6"/>
      <c r="W224" s="6"/>
      <c r="X224" s="6"/>
      <c r="Y224" s="6"/>
      <c r="Z224" s="6"/>
      <c r="AA224" s="6"/>
      <c r="AB224" s="6"/>
    </row>
    <row r="225" ht="16.5" customHeight="1">
      <c r="A225" s="6"/>
      <c r="B225" s="6"/>
      <c r="C225" s="6"/>
      <c r="D225" s="6"/>
      <c r="E225" s="6"/>
      <c r="F225" s="6"/>
      <c r="G225" s="6"/>
      <c r="H225" s="93"/>
      <c r="I225" s="93"/>
      <c r="J225" s="93"/>
      <c r="K225" s="93"/>
      <c r="L225" s="93"/>
      <c r="M225" s="6"/>
      <c r="N225" s="6"/>
      <c r="O225" s="6"/>
      <c r="P225" s="6"/>
      <c r="Q225" s="6"/>
      <c r="R225" s="6"/>
      <c r="S225" s="6"/>
      <c r="T225" s="6"/>
      <c r="U225" s="6"/>
      <c r="V225" s="6"/>
      <c r="W225" s="6"/>
      <c r="X225" s="6"/>
      <c r="Y225" s="6"/>
      <c r="Z225" s="6"/>
      <c r="AA225" s="6"/>
      <c r="AB225" s="6"/>
    </row>
    <row r="226" ht="16.5" customHeight="1">
      <c r="A226" s="6"/>
      <c r="B226" s="6"/>
      <c r="C226" s="6"/>
      <c r="D226" s="6"/>
      <c r="E226" s="6"/>
      <c r="F226" s="6"/>
      <c r="G226" s="6"/>
      <c r="H226" s="93"/>
      <c r="I226" s="93"/>
      <c r="J226" s="93"/>
      <c r="K226" s="93"/>
      <c r="L226" s="93"/>
      <c r="M226" s="6"/>
      <c r="N226" s="6"/>
      <c r="O226" s="6"/>
      <c r="P226" s="6"/>
      <c r="Q226" s="6"/>
      <c r="R226" s="6"/>
      <c r="S226" s="6"/>
      <c r="T226" s="6"/>
      <c r="U226" s="6"/>
      <c r="V226" s="6"/>
      <c r="W226" s="6"/>
      <c r="X226" s="6"/>
      <c r="Y226" s="6"/>
      <c r="Z226" s="6"/>
      <c r="AA226" s="6"/>
      <c r="AB226" s="6"/>
    </row>
    <row r="227" ht="16.5" customHeight="1">
      <c r="A227" s="6"/>
      <c r="B227" s="6"/>
      <c r="C227" s="6"/>
      <c r="D227" s="6"/>
      <c r="E227" s="6"/>
      <c r="F227" s="6"/>
      <c r="G227" s="6"/>
      <c r="H227" s="93"/>
      <c r="I227" s="93"/>
      <c r="J227" s="93"/>
      <c r="K227" s="93"/>
      <c r="L227" s="93"/>
      <c r="M227" s="6"/>
      <c r="N227" s="6"/>
      <c r="O227" s="6"/>
      <c r="P227" s="6"/>
      <c r="Q227" s="6"/>
      <c r="R227" s="6"/>
      <c r="S227" s="6"/>
      <c r="T227" s="6"/>
      <c r="U227" s="6"/>
      <c r="V227" s="6"/>
      <c r="W227" s="6"/>
      <c r="X227" s="6"/>
      <c r="Y227" s="6"/>
      <c r="Z227" s="6"/>
      <c r="AA227" s="6"/>
      <c r="AB227" s="6"/>
    </row>
    <row r="228" ht="16.5" customHeight="1">
      <c r="A228" s="6"/>
      <c r="B228" s="6"/>
      <c r="C228" s="6"/>
      <c r="D228" s="6"/>
      <c r="E228" s="6"/>
      <c r="F228" s="6"/>
      <c r="G228" s="6"/>
      <c r="H228" s="93"/>
      <c r="I228" s="93"/>
      <c r="J228" s="93"/>
      <c r="K228" s="93"/>
      <c r="L228" s="93"/>
      <c r="M228" s="6"/>
      <c r="N228" s="6"/>
      <c r="O228" s="6"/>
      <c r="P228" s="6"/>
      <c r="Q228" s="6"/>
      <c r="R228" s="6"/>
      <c r="S228" s="6"/>
      <c r="T228" s="6"/>
      <c r="U228" s="6"/>
      <c r="V228" s="6"/>
      <c r="W228" s="6"/>
      <c r="X228" s="6"/>
      <c r="Y228" s="6"/>
      <c r="Z228" s="6"/>
      <c r="AA228" s="6"/>
      <c r="AB228" s="6"/>
    </row>
    <row r="229" ht="16.5" customHeight="1">
      <c r="A229" s="6"/>
      <c r="B229" s="6"/>
      <c r="C229" s="6"/>
      <c r="D229" s="6"/>
      <c r="E229" s="6"/>
      <c r="F229" s="6"/>
      <c r="G229" s="6"/>
      <c r="H229" s="93"/>
      <c r="I229" s="93"/>
      <c r="J229" s="93"/>
      <c r="K229" s="93"/>
      <c r="L229" s="93"/>
      <c r="M229" s="6"/>
      <c r="N229" s="6"/>
      <c r="O229" s="6"/>
      <c r="P229" s="6"/>
      <c r="Q229" s="6"/>
      <c r="R229" s="6"/>
      <c r="S229" s="6"/>
      <c r="T229" s="6"/>
      <c r="U229" s="6"/>
      <c r="V229" s="6"/>
      <c r="W229" s="6"/>
      <c r="X229" s="6"/>
      <c r="Y229" s="6"/>
      <c r="Z229" s="6"/>
      <c r="AA229" s="6"/>
      <c r="AB229" s="6"/>
    </row>
    <row r="230" ht="16.5" customHeight="1">
      <c r="A230" s="6"/>
      <c r="B230" s="6"/>
      <c r="C230" s="6"/>
      <c r="D230" s="6"/>
      <c r="E230" s="6"/>
      <c r="F230" s="6"/>
      <c r="G230" s="6"/>
      <c r="H230" s="93"/>
      <c r="I230" s="93"/>
      <c r="J230" s="93"/>
      <c r="K230" s="93"/>
      <c r="L230" s="93"/>
      <c r="M230" s="6"/>
      <c r="N230" s="6"/>
      <c r="O230" s="6"/>
      <c r="P230" s="6"/>
      <c r="Q230" s="6"/>
      <c r="R230" s="6"/>
      <c r="S230" s="6"/>
      <c r="T230" s="6"/>
      <c r="U230" s="6"/>
      <c r="V230" s="6"/>
      <c r="W230" s="6"/>
      <c r="X230" s="6"/>
      <c r="Y230" s="6"/>
      <c r="Z230" s="6"/>
      <c r="AA230" s="6"/>
      <c r="AB230" s="6"/>
    </row>
    <row r="231" ht="16.5" customHeight="1">
      <c r="A231" s="6"/>
      <c r="B231" s="6"/>
      <c r="C231" s="6"/>
      <c r="D231" s="6"/>
      <c r="E231" s="6"/>
      <c r="F231" s="6"/>
      <c r="G231" s="6"/>
      <c r="H231" s="93"/>
      <c r="I231" s="93"/>
      <c r="J231" s="93"/>
      <c r="K231" s="93"/>
      <c r="L231" s="93"/>
      <c r="M231" s="6"/>
      <c r="N231" s="6"/>
      <c r="O231" s="6"/>
      <c r="P231" s="6"/>
      <c r="Q231" s="6"/>
      <c r="R231" s="6"/>
      <c r="S231" s="6"/>
      <c r="T231" s="6"/>
      <c r="U231" s="6"/>
      <c r="V231" s="6"/>
      <c r="W231" s="6"/>
      <c r="X231" s="6"/>
      <c r="Y231" s="6"/>
      <c r="Z231" s="6"/>
      <c r="AA231" s="6"/>
      <c r="AB231" s="6"/>
    </row>
    <row r="232" ht="16.5" customHeight="1">
      <c r="A232" s="6"/>
      <c r="B232" s="6"/>
      <c r="C232" s="6"/>
      <c r="D232" s="6"/>
      <c r="E232" s="6"/>
      <c r="F232" s="6"/>
      <c r="G232" s="6"/>
      <c r="H232" s="93"/>
      <c r="I232" s="93"/>
      <c r="J232" s="93"/>
      <c r="K232" s="93"/>
      <c r="L232" s="93"/>
      <c r="M232" s="6"/>
      <c r="N232" s="6"/>
      <c r="O232" s="6"/>
      <c r="P232" s="6"/>
      <c r="Q232" s="6"/>
      <c r="R232" s="6"/>
      <c r="S232" s="6"/>
      <c r="T232" s="6"/>
      <c r="U232" s="6"/>
      <c r="V232" s="6"/>
      <c r="W232" s="6"/>
      <c r="X232" s="6"/>
      <c r="Y232" s="6"/>
      <c r="Z232" s="6"/>
      <c r="AA232" s="6"/>
      <c r="AB232" s="6"/>
    </row>
    <row r="233" ht="16.5" customHeight="1">
      <c r="A233" s="6"/>
      <c r="B233" s="6"/>
      <c r="C233" s="6"/>
      <c r="D233" s="6"/>
      <c r="E233" s="6"/>
      <c r="F233" s="6"/>
      <c r="G233" s="6"/>
      <c r="H233" s="93"/>
      <c r="I233" s="93"/>
      <c r="J233" s="93"/>
      <c r="K233" s="93"/>
      <c r="L233" s="93"/>
      <c r="M233" s="6"/>
      <c r="N233" s="6"/>
      <c r="O233" s="6"/>
      <c r="P233" s="6"/>
      <c r="Q233" s="6"/>
      <c r="R233" s="6"/>
      <c r="S233" s="6"/>
      <c r="T233" s="6"/>
      <c r="U233" s="6"/>
      <c r="V233" s="6"/>
      <c r="W233" s="6"/>
      <c r="X233" s="6"/>
      <c r="Y233" s="6"/>
      <c r="Z233" s="6"/>
      <c r="AA233" s="6"/>
      <c r="AB233" s="6"/>
    </row>
    <row r="234" ht="16.5" customHeight="1">
      <c r="A234" s="6"/>
      <c r="B234" s="6"/>
      <c r="C234" s="6"/>
      <c r="D234" s="6"/>
      <c r="E234" s="6"/>
      <c r="F234" s="6"/>
      <c r="G234" s="6"/>
      <c r="H234" s="93"/>
      <c r="I234" s="93"/>
      <c r="J234" s="93"/>
      <c r="K234" s="93"/>
      <c r="L234" s="93"/>
      <c r="M234" s="6"/>
      <c r="N234" s="6"/>
      <c r="O234" s="6"/>
      <c r="P234" s="6"/>
      <c r="Q234" s="6"/>
      <c r="R234" s="6"/>
      <c r="S234" s="6"/>
      <c r="T234" s="6"/>
      <c r="U234" s="6"/>
      <c r="V234" s="6"/>
      <c r="W234" s="6"/>
      <c r="X234" s="6"/>
      <c r="Y234" s="6"/>
      <c r="Z234" s="6"/>
      <c r="AA234" s="6"/>
      <c r="AB234" s="6"/>
    </row>
    <row r="235" ht="16.5" customHeight="1">
      <c r="A235" s="6"/>
      <c r="B235" s="6"/>
      <c r="C235" s="6"/>
      <c r="D235" s="6"/>
      <c r="E235" s="6"/>
      <c r="F235" s="6"/>
      <c r="G235" s="6"/>
      <c r="H235" s="93"/>
      <c r="I235" s="93"/>
      <c r="J235" s="93"/>
      <c r="K235" s="93"/>
      <c r="L235" s="93"/>
      <c r="M235" s="6"/>
      <c r="N235" s="6"/>
      <c r="O235" s="6"/>
      <c r="P235" s="6"/>
      <c r="Q235" s="6"/>
      <c r="R235" s="6"/>
      <c r="S235" s="6"/>
      <c r="T235" s="6"/>
      <c r="U235" s="6"/>
      <c r="V235" s="6"/>
      <c r="W235" s="6"/>
      <c r="X235" s="6"/>
      <c r="Y235" s="6"/>
      <c r="Z235" s="6"/>
      <c r="AA235" s="6"/>
      <c r="AB235" s="6"/>
    </row>
    <row r="236" ht="16.5" customHeight="1">
      <c r="A236" s="6"/>
      <c r="B236" s="6"/>
      <c r="C236" s="6"/>
      <c r="D236" s="6"/>
      <c r="E236" s="6"/>
      <c r="F236" s="6"/>
      <c r="G236" s="6"/>
      <c r="H236" s="93"/>
      <c r="I236" s="93"/>
      <c r="J236" s="93"/>
      <c r="K236" s="93"/>
      <c r="L236" s="93"/>
      <c r="M236" s="6"/>
      <c r="N236" s="6"/>
      <c r="O236" s="6"/>
      <c r="P236" s="6"/>
      <c r="Q236" s="6"/>
      <c r="R236" s="6"/>
      <c r="S236" s="6"/>
      <c r="T236" s="6"/>
      <c r="U236" s="6"/>
      <c r="V236" s="6"/>
      <c r="W236" s="6"/>
      <c r="X236" s="6"/>
      <c r="Y236" s="6"/>
      <c r="Z236" s="6"/>
      <c r="AA236" s="6"/>
      <c r="AB236" s="6"/>
    </row>
    <row r="237" ht="16.5" customHeight="1">
      <c r="A237" s="6"/>
      <c r="B237" s="6"/>
      <c r="C237" s="6"/>
      <c r="D237" s="6"/>
      <c r="E237" s="6"/>
      <c r="F237" s="6"/>
      <c r="G237" s="6"/>
      <c r="H237" s="93"/>
      <c r="I237" s="93"/>
      <c r="J237" s="93"/>
      <c r="K237" s="93"/>
      <c r="L237" s="93"/>
      <c r="M237" s="6"/>
      <c r="N237" s="6"/>
      <c r="O237" s="6"/>
      <c r="P237" s="6"/>
      <c r="Q237" s="6"/>
      <c r="R237" s="6"/>
      <c r="S237" s="6"/>
      <c r="T237" s="6"/>
      <c r="U237" s="6"/>
      <c r="V237" s="6"/>
      <c r="W237" s="6"/>
      <c r="X237" s="6"/>
      <c r="Y237" s="6"/>
      <c r="Z237" s="6"/>
      <c r="AA237" s="6"/>
      <c r="AB237" s="6"/>
    </row>
    <row r="238" ht="16.5" customHeight="1">
      <c r="A238" s="6"/>
      <c r="B238" s="6"/>
      <c r="C238" s="6"/>
      <c r="D238" s="6"/>
      <c r="E238" s="6"/>
      <c r="F238" s="6"/>
      <c r="G238" s="6"/>
      <c r="H238" s="93"/>
      <c r="I238" s="93"/>
      <c r="J238" s="93"/>
      <c r="K238" s="93"/>
      <c r="L238" s="93"/>
      <c r="M238" s="6"/>
      <c r="N238" s="6"/>
      <c r="O238" s="6"/>
      <c r="P238" s="6"/>
      <c r="Q238" s="6"/>
      <c r="R238" s="6"/>
      <c r="S238" s="6"/>
      <c r="T238" s="6"/>
      <c r="U238" s="6"/>
      <c r="V238" s="6"/>
      <c r="W238" s="6"/>
      <c r="X238" s="6"/>
      <c r="Y238" s="6"/>
      <c r="Z238" s="6"/>
      <c r="AA238" s="6"/>
      <c r="AB238" s="6"/>
    </row>
    <row r="239" ht="16.5" customHeight="1">
      <c r="A239" s="6"/>
      <c r="B239" s="6"/>
      <c r="C239" s="6"/>
      <c r="D239" s="6"/>
      <c r="E239" s="6"/>
      <c r="F239" s="6"/>
      <c r="G239" s="6"/>
      <c r="H239" s="93"/>
      <c r="I239" s="93"/>
      <c r="J239" s="93"/>
      <c r="K239" s="93"/>
      <c r="L239" s="93"/>
      <c r="M239" s="6"/>
      <c r="N239" s="6"/>
      <c r="O239" s="6"/>
      <c r="P239" s="6"/>
      <c r="Q239" s="6"/>
      <c r="R239" s="6"/>
      <c r="S239" s="6"/>
      <c r="T239" s="6"/>
      <c r="U239" s="6"/>
      <c r="V239" s="6"/>
      <c r="W239" s="6"/>
      <c r="X239" s="6"/>
      <c r="Y239" s="6"/>
      <c r="Z239" s="6"/>
      <c r="AA239" s="6"/>
      <c r="AB239" s="6"/>
    </row>
    <row r="240" ht="16.5" customHeight="1">
      <c r="A240" s="6"/>
      <c r="B240" s="6"/>
      <c r="C240" s="6"/>
      <c r="D240" s="6"/>
      <c r="E240" s="6"/>
      <c r="F240" s="6"/>
      <c r="G240" s="6"/>
      <c r="H240" s="93"/>
      <c r="I240" s="93"/>
      <c r="J240" s="93"/>
      <c r="K240" s="93"/>
      <c r="L240" s="93"/>
      <c r="M240" s="6"/>
      <c r="N240" s="6"/>
      <c r="O240" s="6"/>
      <c r="P240" s="6"/>
      <c r="Q240" s="6"/>
      <c r="R240" s="6"/>
      <c r="S240" s="6"/>
      <c r="T240" s="6"/>
      <c r="U240" s="6"/>
      <c r="V240" s="6"/>
      <c r="W240" s="6"/>
      <c r="X240" s="6"/>
      <c r="Y240" s="6"/>
      <c r="Z240" s="6"/>
      <c r="AA240" s="6"/>
      <c r="AB240" s="6"/>
    </row>
    <row r="241" ht="16.5" customHeight="1">
      <c r="A241" s="6"/>
      <c r="B241" s="6"/>
      <c r="C241" s="6"/>
      <c r="D241" s="6"/>
      <c r="E241" s="6"/>
      <c r="F241" s="6"/>
      <c r="G241" s="6"/>
      <c r="H241" s="93"/>
      <c r="I241" s="93"/>
      <c r="J241" s="93"/>
      <c r="K241" s="93"/>
      <c r="L241" s="93"/>
      <c r="M241" s="6"/>
      <c r="N241" s="6"/>
      <c r="O241" s="6"/>
      <c r="P241" s="6"/>
      <c r="Q241" s="6"/>
      <c r="R241" s="6"/>
      <c r="S241" s="6"/>
      <c r="T241" s="6"/>
      <c r="U241" s="6"/>
      <c r="V241" s="6"/>
      <c r="W241" s="6"/>
      <c r="X241" s="6"/>
      <c r="Y241" s="6"/>
      <c r="Z241" s="6"/>
      <c r="AA241" s="6"/>
      <c r="AB241" s="6"/>
    </row>
    <row r="242" ht="16.5" customHeight="1">
      <c r="A242" s="6"/>
      <c r="B242" s="6"/>
      <c r="C242" s="6"/>
      <c r="D242" s="6"/>
      <c r="E242" s="6"/>
      <c r="F242" s="6"/>
      <c r="G242" s="6"/>
      <c r="H242" s="93"/>
      <c r="I242" s="93"/>
      <c r="J242" s="93"/>
      <c r="K242" s="93"/>
      <c r="L242" s="93"/>
      <c r="M242" s="6"/>
      <c r="N242" s="6"/>
      <c r="O242" s="6"/>
      <c r="P242" s="6"/>
      <c r="Q242" s="6"/>
      <c r="R242" s="6"/>
      <c r="S242" s="6"/>
      <c r="T242" s="6"/>
      <c r="U242" s="6"/>
      <c r="V242" s="6"/>
      <c r="W242" s="6"/>
      <c r="X242" s="6"/>
      <c r="Y242" s="6"/>
      <c r="Z242" s="6"/>
      <c r="AA242" s="6"/>
      <c r="AB242" s="6"/>
    </row>
    <row r="243" ht="16.5" customHeight="1">
      <c r="A243" s="6"/>
      <c r="B243" s="6"/>
      <c r="C243" s="6"/>
      <c r="D243" s="6"/>
      <c r="E243" s="6"/>
      <c r="F243" s="6"/>
      <c r="G243" s="6"/>
      <c r="H243" s="93"/>
      <c r="I243" s="93"/>
      <c r="J243" s="93"/>
      <c r="K243" s="93"/>
      <c r="L243" s="93"/>
      <c r="M243" s="6"/>
      <c r="N243" s="6"/>
      <c r="O243" s="6"/>
      <c r="P243" s="6"/>
      <c r="Q243" s="6"/>
      <c r="R243" s="6"/>
      <c r="S243" s="6"/>
      <c r="T243" s="6"/>
      <c r="U243" s="6"/>
      <c r="V243" s="6"/>
      <c r="W243" s="6"/>
      <c r="X243" s="6"/>
      <c r="Y243" s="6"/>
      <c r="Z243" s="6"/>
      <c r="AA243" s="6"/>
      <c r="AB243" s="6"/>
    </row>
    <row r="244" ht="16.5" customHeight="1">
      <c r="A244" s="6"/>
      <c r="B244" s="6"/>
      <c r="C244" s="6"/>
      <c r="D244" s="6"/>
      <c r="E244" s="6"/>
      <c r="F244" s="6"/>
      <c r="G244" s="6"/>
      <c r="H244" s="93"/>
      <c r="I244" s="93"/>
      <c r="J244" s="93"/>
      <c r="K244" s="93"/>
      <c r="L244" s="93"/>
      <c r="M244" s="6"/>
      <c r="N244" s="6"/>
      <c r="O244" s="6"/>
      <c r="P244" s="6"/>
      <c r="Q244" s="6"/>
      <c r="R244" s="6"/>
      <c r="S244" s="6"/>
      <c r="T244" s="6"/>
      <c r="U244" s="6"/>
      <c r="V244" s="6"/>
      <c r="W244" s="6"/>
      <c r="X244" s="6"/>
      <c r="Y244" s="6"/>
      <c r="Z244" s="6"/>
      <c r="AA244" s="6"/>
      <c r="AB244" s="6"/>
    </row>
    <row r="245" ht="16.5" customHeight="1">
      <c r="A245" s="6"/>
      <c r="B245" s="6"/>
      <c r="C245" s="6"/>
      <c r="D245" s="6"/>
      <c r="E245" s="6"/>
      <c r="F245" s="6"/>
      <c r="G245" s="6"/>
      <c r="H245" s="93"/>
      <c r="I245" s="93"/>
      <c r="J245" s="93"/>
      <c r="K245" s="93"/>
      <c r="L245" s="93"/>
      <c r="M245" s="6"/>
      <c r="N245" s="6"/>
      <c r="O245" s="6"/>
      <c r="P245" s="6"/>
      <c r="Q245" s="6"/>
      <c r="R245" s="6"/>
      <c r="S245" s="6"/>
      <c r="T245" s="6"/>
      <c r="U245" s="6"/>
      <c r="V245" s="6"/>
      <c r="W245" s="6"/>
      <c r="X245" s="6"/>
      <c r="Y245" s="6"/>
      <c r="Z245" s="6"/>
      <c r="AA245" s="6"/>
      <c r="AB245" s="6"/>
    </row>
    <row r="246" ht="16.5" customHeight="1">
      <c r="A246" s="6"/>
      <c r="B246" s="6"/>
      <c r="C246" s="6"/>
      <c r="D246" s="6"/>
      <c r="E246" s="6"/>
      <c r="F246" s="6"/>
      <c r="G246" s="6"/>
      <c r="H246" s="93"/>
      <c r="I246" s="93"/>
      <c r="J246" s="93"/>
      <c r="K246" s="93"/>
      <c r="L246" s="93"/>
      <c r="M246" s="6"/>
      <c r="N246" s="6"/>
      <c r="O246" s="6"/>
      <c r="P246" s="6"/>
      <c r="Q246" s="6"/>
      <c r="R246" s="6"/>
      <c r="S246" s="6"/>
      <c r="T246" s="6"/>
      <c r="U246" s="6"/>
      <c r="V246" s="6"/>
      <c r="W246" s="6"/>
      <c r="X246" s="6"/>
      <c r="Y246" s="6"/>
      <c r="Z246" s="6"/>
      <c r="AA246" s="6"/>
      <c r="AB246" s="6"/>
    </row>
    <row r="247" ht="16.5" customHeight="1">
      <c r="A247" s="6"/>
      <c r="B247" s="6"/>
      <c r="C247" s="6"/>
      <c r="D247" s="6"/>
      <c r="E247" s="6"/>
      <c r="F247" s="6"/>
      <c r="G247" s="6"/>
      <c r="H247" s="93"/>
      <c r="I247" s="93"/>
      <c r="J247" s="93"/>
      <c r="K247" s="93"/>
      <c r="L247" s="93"/>
      <c r="M247" s="6"/>
      <c r="N247" s="6"/>
      <c r="O247" s="6"/>
      <c r="P247" s="6"/>
      <c r="Q247" s="6"/>
      <c r="R247" s="6"/>
      <c r="S247" s="6"/>
      <c r="T247" s="6"/>
      <c r="U247" s="6"/>
      <c r="V247" s="6"/>
      <c r="W247" s="6"/>
      <c r="X247" s="6"/>
      <c r="Y247" s="6"/>
      <c r="Z247" s="6"/>
      <c r="AA247" s="6"/>
      <c r="AB247" s="6"/>
    </row>
    <row r="248" ht="16.5" customHeight="1">
      <c r="A248" s="6"/>
      <c r="B248" s="6"/>
      <c r="C248" s="6"/>
      <c r="D248" s="6"/>
      <c r="E248" s="6"/>
      <c r="F248" s="6"/>
      <c r="G248" s="6"/>
      <c r="H248" s="93"/>
      <c r="I248" s="93"/>
      <c r="J248" s="93"/>
      <c r="K248" s="93"/>
      <c r="L248" s="93"/>
      <c r="M248" s="6"/>
      <c r="N248" s="6"/>
      <c r="O248" s="6"/>
      <c r="P248" s="6"/>
      <c r="Q248" s="6"/>
      <c r="R248" s="6"/>
      <c r="S248" s="6"/>
      <c r="T248" s="6"/>
      <c r="U248" s="6"/>
      <c r="V248" s="6"/>
      <c r="W248" s="6"/>
      <c r="X248" s="6"/>
      <c r="Y248" s="6"/>
      <c r="Z248" s="6"/>
      <c r="AA248" s="6"/>
      <c r="AB248" s="6"/>
    </row>
    <row r="249" ht="16.5" customHeight="1">
      <c r="A249" s="6"/>
      <c r="B249" s="6"/>
      <c r="C249" s="6"/>
      <c r="D249" s="6"/>
      <c r="E249" s="6"/>
      <c r="F249" s="6"/>
      <c r="G249" s="6"/>
      <c r="H249" s="93"/>
      <c r="I249" s="93"/>
      <c r="J249" s="93"/>
      <c r="K249" s="93"/>
      <c r="L249" s="93"/>
      <c r="M249" s="6"/>
      <c r="N249" s="6"/>
      <c r="O249" s="6"/>
      <c r="P249" s="6"/>
      <c r="Q249" s="6"/>
      <c r="R249" s="6"/>
      <c r="S249" s="6"/>
      <c r="T249" s="6"/>
      <c r="U249" s="6"/>
      <c r="V249" s="6"/>
      <c r="W249" s="6"/>
      <c r="X249" s="6"/>
      <c r="Y249" s="6"/>
      <c r="Z249" s="6"/>
      <c r="AA249" s="6"/>
      <c r="AB249" s="6"/>
    </row>
    <row r="250" ht="16.5" customHeight="1">
      <c r="A250" s="6"/>
      <c r="B250" s="6"/>
      <c r="C250" s="6"/>
      <c r="D250" s="6"/>
      <c r="E250" s="6"/>
      <c r="F250" s="6"/>
      <c r="G250" s="6"/>
      <c r="H250" s="93"/>
      <c r="I250" s="93"/>
      <c r="J250" s="93"/>
      <c r="K250" s="93"/>
      <c r="L250" s="93"/>
      <c r="M250" s="6"/>
      <c r="N250" s="6"/>
      <c r="O250" s="6"/>
      <c r="P250" s="6"/>
      <c r="Q250" s="6"/>
      <c r="R250" s="6"/>
      <c r="S250" s="6"/>
      <c r="T250" s="6"/>
      <c r="U250" s="6"/>
      <c r="V250" s="6"/>
      <c r="W250" s="6"/>
      <c r="X250" s="6"/>
      <c r="Y250" s="6"/>
      <c r="Z250" s="6"/>
      <c r="AA250" s="6"/>
      <c r="AB250" s="6"/>
    </row>
    <row r="251" ht="16.5" customHeight="1">
      <c r="A251" s="6"/>
      <c r="B251" s="6"/>
      <c r="C251" s="6"/>
      <c r="D251" s="6"/>
      <c r="E251" s="6"/>
      <c r="F251" s="6"/>
      <c r="G251" s="6"/>
      <c r="H251" s="93"/>
      <c r="I251" s="93"/>
      <c r="J251" s="93"/>
      <c r="K251" s="93"/>
      <c r="L251" s="93"/>
      <c r="M251" s="6"/>
      <c r="N251" s="6"/>
      <c r="O251" s="6"/>
      <c r="P251" s="6"/>
      <c r="Q251" s="6"/>
      <c r="R251" s="6"/>
      <c r="S251" s="6"/>
      <c r="T251" s="6"/>
      <c r="U251" s="6"/>
      <c r="V251" s="6"/>
      <c r="W251" s="6"/>
      <c r="X251" s="6"/>
      <c r="Y251" s="6"/>
      <c r="Z251" s="6"/>
      <c r="AA251" s="6"/>
      <c r="AB251" s="6"/>
    </row>
    <row r="252" ht="16.5" customHeight="1">
      <c r="A252" s="6"/>
      <c r="B252" s="6"/>
      <c r="C252" s="6"/>
      <c r="D252" s="6"/>
      <c r="E252" s="6"/>
      <c r="F252" s="6"/>
      <c r="G252" s="6"/>
      <c r="H252" s="93"/>
      <c r="I252" s="93"/>
      <c r="J252" s="93"/>
      <c r="K252" s="93"/>
      <c r="L252" s="93"/>
      <c r="M252" s="6"/>
      <c r="N252" s="6"/>
      <c r="O252" s="6"/>
      <c r="P252" s="6"/>
      <c r="Q252" s="6"/>
      <c r="R252" s="6"/>
      <c r="S252" s="6"/>
      <c r="T252" s="6"/>
      <c r="U252" s="6"/>
      <c r="V252" s="6"/>
      <c r="W252" s="6"/>
      <c r="X252" s="6"/>
      <c r="Y252" s="6"/>
      <c r="Z252" s="6"/>
      <c r="AA252" s="6"/>
      <c r="AB252" s="6"/>
    </row>
    <row r="253" ht="16.5" customHeight="1">
      <c r="A253" s="6"/>
      <c r="B253" s="6"/>
      <c r="C253" s="6"/>
      <c r="D253" s="6"/>
      <c r="E253" s="6"/>
      <c r="F253" s="6"/>
      <c r="G253" s="6"/>
      <c r="H253" s="93"/>
      <c r="I253" s="93"/>
      <c r="J253" s="93"/>
      <c r="K253" s="93"/>
      <c r="L253" s="93"/>
      <c r="M253" s="6"/>
      <c r="N253" s="6"/>
      <c r="O253" s="6"/>
      <c r="P253" s="6"/>
      <c r="Q253" s="6"/>
      <c r="R253" s="6"/>
      <c r="S253" s="6"/>
      <c r="T253" s="6"/>
      <c r="U253" s="6"/>
      <c r="V253" s="6"/>
      <c r="W253" s="6"/>
      <c r="X253" s="6"/>
      <c r="Y253" s="6"/>
      <c r="Z253" s="6"/>
      <c r="AA253" s="6"/>
      <c r="AB253" s="6"/>
    </row>
    <row r="254" ht="16.5" customHeight="1">
      <c r="A254" s="6"/>
      <c r="B254" s="6"/>
      <c r="C254" s="6"/>
      <c r="D254" s="6"/>
      <c r="E254" s="6"/>
      <c r="F254" s="6"/>
      <c r="G254" s="6"/>
      <c r="H254" s="93"/>
      <c r="I254" s="93"/>
      <c r="J254" s="93"/>
      <c r="K254" s="93"/>
      <c r="L254" s="93"/>
      <c r="M254" s="6"/>
      <c r="N254" s="6"/>
      <c r="O254" s="6"/>
      <c r="P254" s="6"/>
      <c r="Q254" s="6"/>
      <c r="R254" s="6"/>
      <c r="S254" s="6"/>
      <c r="T254" s="6"/>
      <c r="U254" s="6"/>
      <c r="V254" s="6"/>
      <c r="W254" s="6"/>
      <c r="X254" s="6"/>
      <c r="Y254" s="6"/>
      <c r="Z254" s="6"/>
      <c r="AA254" s="6"/>
      <c r="AB254" s="6"/>
    </row>
    <row r="255" ht="16.5" customHeight="1">
      <c r="A255" s="6"/>
      <c r="B255" s="6"/>
      <c r="C255" s="6"/>
      <c r="D255" s="6"/>
      <c r="E255" s="6"/>
      <c r="F255" s="6"/>
      <c r="G255" s="6"/>
      <c r="H255" s="93"/>
      <c r="I255" s="93"/>
      <c r="J255" s="93"/>
      <c r="K255" s="93"/>
      <c r="L255" s="93"/>
      <c r="M255" s="6"/>
      <c r="N255" s="6"/>
      <c r="O255" s="6"/>
      <c r="P255" s="6"/>
      <c r="Q255" s="6"/>
      <c r="R255" s="6"/>
      <c r="S255" s="6"/>
      <c r="T255" s="6"/>
      <c r="U255" s="6"/>
      <c r="V255" s="6"/>
      <c r="W255" s="6"/>
      <c r="X255" s="6"/>
      <c r="Y255" s="6"/>
      <c r="Z255" s="6"/>
      <c r="AA255" s="6"/>
      <c r="AB255" s="6"/>
    </row>
    <row r="256" ht="16.5" customHeight="1">
      <c r="A256" s="6"/>
      <c r="B256" s="6"/>
      <c r="C256" s="6"/>
      <c r="D256" s="6"/>
      <c r="E256" s="6"/>
      <c r="F256" s="6"/>
      <c r="G256" s="6"/>
      <c r="H256" s="93"/>
      <c r="I256" s="93"/>
      <c r="J256" s="93"/>
      <c r="K256" s="93"/>
      <c r="L256" s="93"/>
      <c r="M256" s="6"/>
      <c r="N256" s="6"/>
      <c r="O256" s="6"/>
      <c r="P256" s="6"/>
      <c r="Q256" s="6"/>
      <c r="R256" s="6"/>
      <c r="S256" s="6"/>
      <c r="T256" s="6"/>
      <c r="U256" s="6"/>
      <c r="V256" s="6"/>
      <c r="W256" s="6"/>
      <c r="X256" s="6"/>
      <c r="Y256" s="6"/>
      <c r="Z256" s="6"/>
      <c r="AA256" s="6"/>
      <c r="AB256" s="6"/>
    </row>
    <row r="257" ht="16.5" customHeight="1">
      <c r="A257" s="6"/>
      <c r="B257" s="6"/>
      <c r="C257" s="6"/>
      <c r="D257" s="6"/>
      <c r="E257" s="6"/>
      <c r="F257" s="6"/>
      <c r="G257" s="6"/>
      <c r="H257" s="93"/>
      <c r="I257" s="93"/>
      <c r="J257" s="93"/>
      <c r="K257" s="93"/>
      <c r="L257" s="93"/>
      <c r="M257" s="6"/>
      <c r="N257" s="6"/>
      <c r="O257" s="6"/>
      <c r="P257" s="6"/>
      <c r="Q257" s="6"/>
      <c r="R257" s="6"/>
      <c r="S257" s="6"/>
      <c r="T257" s="6"/>
      <c r="U257" s="6"/>
      <c r="V257" s="6"/>
      <c r="W257" s="6"/>
      <c r="X257" s="6"/>
      <c r="Y257" s="6"/>
      <c r="Z257" s="6"/>
      <c r="AA257" s="6"/>
      <c r="AB257" s="6"/>
    </row>
    <row r="258" ht="16.5" customHeight="1">
      <c r="A258" s="6"/>
      <c r="B258" s="6"/>
      <c r="C258" s="6"/>
      <c r="D258" s="6"/>
      <c r="E258" s="6"/>
      <c r="F258" s="6"/>
      <c r="G258" s="6"/>
      <c r="H258" s="93"/>
      <c r="I258" s="93"/>
      <c r="J258" s="93"/>
      <c r="K258" s="93"/>
      <c r="L258" s="93"/>
      <c r="M258" s="6"/>
      <c r="N258" s="6"/>
      <c r="O258" s="6"/>
      <c r="P258" s="6"/>
      <c r="Q258" s="6"/>
      <c r="R258" s="6"/>
      <c r="S258" s="6"/>
      <c r="T258" s="6"/>
      <c r="U258" s="6"/>
      <c r="V258" s="6"/>
      <c r="W258" s="6"/>
      <c r="X258" s="6"/>
      <c r="Y258" s="6"/>
      <c r="Z258" s="6"/>
      <c r="AA258" s="6"/>
      <c r="AB258" s="6"/>
    </row>
    <row r="259" ht="16.5" customHeight="1">
      <c r="A259" s="6"/>
      <c r="B259" s="6"/>
      <c r="C259" s="6"/>
      <c r="D259" s="6"/>
      <c r="E259" s="6"/>
      <c r="F259" s="6"/>
      <c r="G259" s="6"/>
      <c r="H259" s="93"/>
      <c r="I259" s="93"/>
      <c r="J259" s="93"/>
      <c r="K259" s="93"/>
      <c r="L259" s="93"/>
      <c r="M259" s="6"/>
      <c r="N259" s="6"/>
      <c r="O259" s="6"/>
      <c r="P259" s="6"/>
      <c r="Q259" s="6"/>
      <c r="R259" s="6"/>
      <c r="S259" s="6"/>
      <c r="T259" s="6"/>
      <c r="U259" s="6"/>
      <c r="V259" s="6"/>
      <c r="W259" s="6"/>
      <c r="X259" s="6"/>
      <c r="Y259" s="6"/>
      <c r="Z259" s="6"/>
      <c r="AA259" s="6"/>
      <c r="AB259" s="6"/>
    </row>
    <row r="260" ht="16.5" customHeight="1">
      <c r="A260" s="6"/>
      <c r="B260" s="6"/>
      <c r="C260" s="6"/>
      <c r="D260" s="6"/>
      <c r="E260" s="6"/>
      <c r="F260" s="6"/>
      <c r="G260" s="6"/>
      <c r="H260" s="93"/>
      <c r="I260" s="93"/>
      <c r="J260" s="93"/>
      <c r="K260" s="93"/>
      <c r="L260" s="93"/>
      <c r="M260" s="6"/>
      <c r="N260" s="6"/>
      <c r="O260" s="6"/>
      <c r="P260" s="6"/>
      <c r="Q260" s="6"/>
      <c r="R260" s="6"/>
      <c r="S260" s="6"/>
      <c r="T260" s="6"/>
      <c r="U260" s="6"/>
      <c r="V260" s="6"/>
      <c r="W260" s="6"/>
      <c r="X260" s="6"/>
      <c r="Y260" s="6"/>
      <c r="Z260" s="6"/>
      <c r="AA260" s="6"/>
      <c r="AB260" s="6"/>
    </row>
    <row r="261" ht="16.5" customHeight="1">
      <c r="A261" s="6"/>
      <c r="B261" s="6"/>
      <c r="C261" s="6"/>
      <c r="D261" s="6"/>
      <c r="E261" s="6"/>
      <c r="F261" s="6"/>
      <c r="G261" s="6"/>
      <c r="H261" s="93"/>
      <c r="I261" s="93"/>
      <c r="J261" s="93"/>
      <c r="K261" s="93"/>
      <c r="L261" s="93"/>
      <c r="M261" s="6"/>
      <c r="N261" s="6"/>
      <c r="O261" s="6"/>
      <c r="P261" s="6"/>
      <c r="Q261" s="6"/>
      <c r="R261" s="6"/>
      <c r="S261" s="6"/>
      <c r="T261" s="6"/>
      <c r="U261" s="6"/>
      <c r="V261" s="6"/>
      <c r="W261" s="6"/>
      <c r="X261" s="6"/>
      <c r="Y261" s="6"/>
      <c r="Z261" s="6"/>
      <c r="AA261" s="6"/>
      <c r="AB261" s="6"/>
    </row>
    <row r="262" ht="16.5" customHeight="1">
      <c r="A262" s="6"/>
      <c r="B262" s="6"/>
      <c r="C262" s="6"/>
      <c r="D262" s="6"/>
      <c r="E262" s="6"/>
      <c r="F262" s="6"/>
      <c r="G262" s="6"/>
      <c r="H262" s="93"/>
      <c r="I262" s="93"/>
      <c r="J262" s="93"/>
      <c r="K262" s="93"/>
      <c r="L262" s="93"/>
      <c r="M262" s="6"/>
      <c r="N262" s="6"/>
      <c r="O262" s="6"/>
      <c r="P262" s="6"/>
      <c r="Q262" s="6"/>
      <c r="R262" s="6"/>
      <c r="S262" s="6"/>
      <c r="T262" s="6"/>
      <c r="U262" s="6"/>
      <c r="V262" s="6"/>
      <c r="W262" s="6"/>
      <c r="X262" s="6"/>
      <c r="Y262" s="6"/>
      <c r="Z262" s="6"/>
      <c r="AA262" s="6"/>
      <c r="AB262" s="6"/>
    </row>
    <row r="263" ht="16.5" customHeight="1">
      <c r="A263" s="6"/>
      <c r="B263" s="6"/>
      <c r="C263" s="6"/>
      <c r="D263" s="6"/>
      <c r="E263" s="6"/>
      <c r="F263" s="6"/>
      <c r="G263" s="6"/>
      <c r="H263" s="93"/>
      <c r="I263" s="93"/>
      <c r="J263" s="93"/>
      <c r="K263" s="93"/>
      <c r="L263" s="93"/>
      <c r="M263" s="6"/>
      <c r="N263" s="6"/>
      <c r="O263" s="6"/>
      <c r="P263" s="6"/>
      <c r="Q263" s="6"/>
      <c r="R263" s="6"/>
      <c r="S263" s="6"/>
      <c r="T263" s="6"/>
      <c r="U263" s="6"/>
      <c r="V263" s="6"/>
      <c r="W263" s="6"/>
      <c r="X263" s="6"/>
      <c r="Y263" s="6"/>
      <c r="Z263" s="6"/>
      <c r="AA263" s="6"/>
      <c r="AB263" s="6"/>
    </row>
    <row r="264" ht="16.5" customHeight="1">
      <c r="A264" s="6"/>
      <c r="B264" s="6"/>
      <c r="C264" s="6"/>
      <c r="D264" s="6"/>
      <c r="E264" s="6"/>
      <c r="F264" s="6"/>
      <c r="G264" s="6"/>
      <c r="H264" s="93"/>
      <c r="I264" s="93"/>
      <c r="J264" s="93"/>
      <c r="K264" s="93"/>
      <c r="L264" s="93"/>
      <c r="M264" s="6"/>
      <c r="N264" s="6"/>
      <c r="O264" s="6"/>
      <c r="P264" s="6"/>
      <c r="Q264" s="6"/>
      <c r="R264" s="6"/>
      <c r="S264" s="6"/>
      <c r="T264" s="6"/>
      <c r="U264" s="6"/>
      <c r="V264" s="6"/>
      <c r="W264" s="6"/>
      <c r="X264" s="6"/>
      <c r="Y264" s="6"/>
      <c r="Z264" s="6"/>
      <c r="AA264" s="6"/>
      <c r="AB264" s="6"/>
    </row>
    <row r="265" ht="16.5" customHeight="1">
      <c r="A265" s="6"/>
      <c r="B265" s="6"/>
      <c r="C265" s="6"/>
      <c r="D265" s="6"/>
      <c r="E265" s="6"/>
      <c r="F265" s="6"/>
      <c r="G265" s="6"/>
      <c r="H265" s="93"/>
      <c r="I265" s="93"/>
      <c r="J265" s="93"/>
      <c r="K265" s="93"/>
      <c r="L265" s="93"/>
      <c r="M265" s="6"/>
      <c r="N265" s="6"/>
      <c r="O265" s="6"/>
      <c r="P265" s="6"/>
      <c r="Q265" s="6"/>
      <c r="R265" s="6"/>
      <c r="S265" s="6"/>
      <c r="T265" s="6"/>
      <c r="U265" s="6"/>
      <c r="V265" s="6"/>
      <c r="W265" s="6"/>
      <c r="X265" s="6"/>
      <c r="Y265" s="6"/>
      <c r="Z265" s="6"/>
      <c r="AA265" s="6"/>
      <c r="AB265" s="6"/>
    </row>
    <row r="266" ht="16.5" customHeight="1">
      <c r="A266" s="6"/>
      <c r="B266" s="6"/>
      <c r="C266" s="6"/>
      <c r="D266" s="6"/>
      <c r="E266" s="6"/>
      <c r="F266" s="6"/>
      <c r="G266" s="6"/>
      <c r="H266" s="93"/>
      <c r="I266" s="93"/>
      <c r="J266" s="93"/>
      <c r="K266" s="93"/>
      <c r="L266" s="93"/>
      <c r="M266" s="6"/>
      <c r="N266" s="6"/>
      <c r="O266" s="6"/>
      <c r="P266" s="6"/>
      <c r="Q266" s="6"/>
      <c r="R266" s="6"/>
      <c r="S266" s="6"/>
      <c r="T266" s="6"/>
      <c r="U266" s="6"/>
      <c r="V266" s="6"/>
      <c r="W266" s="6"/>
      <c r="X266" s="6"/>
      <c r="Y266" s="6"/>
      <c r="Z266" s="6"/>
      <c r="AA266" s="6"/>
      <c r="AB266" s="6"/>
    </row>
    <row r="267" ht="16.5" customHeight="1">
      <c r="A267" s="6"/>
      <c r="B267" s="6"/>
      <c r="C267" s="6"/>
      <c r="D267" s="6"/>
      <c r="E267" s="6"/>
      <c r="F267" s="6"/>
      <c r="G267" s="6"/>
      <c r="H267" s="93"/>
      <c r="I267" s="93"/>
      <c r="J267" s="93"/>
      <c r="K267" s="93"/>
      <c r="L267" s="93"/>
      <c r="M267" s="6"/>
      <c r="N267" s="6"/>
      <c r="O267" s="6"/>
      <c r="P267" s="6"/>
      <c r="Q267" s="6"/>
      <c r="R267" s="6"/>
      <c r="S267" s="6"/>
      <c r="T267" s="6"/>
      <c r="U267" s="6"/>
      <c r="V267" s="6"/>
      <c r="W267" s="6"/>
      <c r="X267" s="6"/>
      <c r="Y267" s="6"/>
      <c r="Z267" s="6"/>
      <c r="AA267" s="6"/>
      <c r="AB267" s="6"/>
    </row>
    <row r="268" ht="16.5" customHeight="1">
      <c r="A268" s="6"/>
      <c r="B268" s="6"/>
      <c r="C268" s="6"/>
      <c r="D268" s="6"/>
      <c r="E268" s="6"/>
      <c r="F268" s="6"/>
      <c r="G268" s="6"/>
      <c r="H268" s="93"/>
      <c r="I268" s="93"/>
      <c r="J268" s="93"/>
      <c r="K268" s="93"/>
      <c r="L268" s="93"/>
      <c r="M268" s="6"/>
      <c r="N268" s="6"/>
      <c r="O268" s="6"/>
      <c r="P268" s="6"/>
      <c r="Q268" s="6"/>
      <c r="R268" s="6"/>
      <c r="S268" s="6"/>
      <c r="T268" s="6"/>
      <c r="U268" s="6"/>
      <c r="V268" s="6"/>
      <c r="W268" s="6"/>
      <c r="X268" s="6"/>
      <c r="Y268" s="6"/>
      <c r="Z268" s="6"/>
      <c r="AA268" s="6"/>
      <c r="AB268" s="6"/>
    </row>
    <row r="269" ht="16.5" customHeight="1">
      <c r="A269" s="6"/>
      <c r="B269" s="6"/>
      <c r="C269" s="6"/>
      <c r="D269" s="6"/>
      <c r="E269" s="6"/>
      <c r="F269" s="6"/>
      <c r="G269" s="6"/>
      <c r="H269" s="93"/>
      <c r="I269" s="93"/>
      <c r="J269" s="93"/>
      <c r="K269" s="93"/>
      <c r="L269" s="93"/>
      <c r="M269" s="6"/>
      <c r="N269" s="6"/>
      <c r="O269" s="6"/>
      <c r="P269" s="6"/>
      <c r="Q269" s="6"/>
      <c r="R269" s="6"/>
      <c r="S269" s="6"/>
      <c r="T269" s="6"/>
      <c r="U269" s="6"/>
      <c r="V269" s="6"/>
      <c r="W269" s="6"/>
      <c r="X269" s="6"/>
      <c r="Y269" s="6"/>
      <c r="Z269" s="6"/>
      <c r="AA269" s="6"/>
      <c r="AB269" s="6"/>
    </row>
    <row r="270" ht="16.5" customHeight="1">
      <c r="A270" s="6"/>
      <c r="B270" s="6"/>
      <c r="C270" s="6"/>
      <c r="D270" s="6"/>
      <c r="E270" s="6"/>
      <c r="F270" s="6"/>
      <c r="G270" s="6"/>
      <c r="H270" s="93"/>
      <c r="I270" s="93"/>
      <c r="J270" s="93"/>
      <c r="K270" s="93"/>
      <c r="L270" s="93"/>
      <c r="M270" s="6"/>
      <c r="N270" s="6"/>
      <c r="O270" s="6"/>
      <c r="P270" s="6"/>
      <c r="Q270" s="6"/>
      <c r="R270" s="6"/>
      <c r="S270" s="6"/>
      <c r="T270" s="6"/>
      <c r="U270" s="6"/>
      <c r="V270" s="6"/>
      <c r="W270" s="6"/>
      <c r="X270" s="6"/>
      <c r="Y270" s="6"/>
      <c r="Z270" s="6"/>
      <c r="AA270" s="6"/>
      <c r="AB270" s="6"/>
    </row>
    <row r="271" ht="16.5" customHeight="1">
      <c r="A271" s="6"/>
      <c r="B271" s="6"/>
      <c r="C271" s="6"/>
      <c r="D271" s="6"/>
      <c r="E271" s="6"/>
      <c r="F271" s="6"/>
      <c r="G271" s="6"/>
      <c r="H271" s="93"/>
      <c r="I271" s="93"/>
      <c r="J271" s="93"/>
      <c r="K271" s="93"/>
      <c r="L271" s="93"/>
      <c r="M271" s="6"/>
      <c r="N271" s="6"/>
      <c r="O271" s="6"/>
      <c r="P271" s="6"/>
      <c r="Q271" s="6"/>
      <c r="R271" s="6"/>
      <c r="S271" s="6"/>
      <c r="T271" s="6"/>
      <c r="U271" s="6"/>
      <c r="V271" s="6"/>
      <c r="W271" s="6"/>
      <c r="X271" s="6"/>
      <c r="Y271" s="6"/>
      <c r="Z271" s="6"/>
      <c r="AA271" s="6"/>
      <c r="AB271" s="6"/>
    </row>
    <row r="272" ht="16.5" customHeight="1">
      <c r="A272" s="6"/>
      <c r="B272" s="6"/>
      <c r="C272" s="6"/>
      <c r="D272" s="6"/>
      <c r="E272" s="6"/>
      <c r="F272" s="6"/>
      <c r="G272" s="6"/>
      <c r="H272" s="93"/>
      <c r="I272" s="93"/>
      <c r="J272" s="93"/>
      <c r="K272" s="93"/>
      <c r="L272" s="93"/>
      <c r="M272" s="6"/>
      <c r="N272" s="6"/>
      <c r="O272" s="6"/>
      <c r="P272" s="6"/>
      <c r="Q272" s="6"/>
      <c r="R272" s="6"/>
      <c r="S272" s="6"/>
      <c r="T272" s="6"/>
      <c r="U272" s="6"/>
      <c r="V272" s="6"/>
      <c r="W272" s="6"/>
      <c r="X272" s="6"/>
      <c r="Y272" s="6"/>
      <c r="Z272" s="6"/>
      <c r="AA272" s="6"/>
      <c r="AB272" s="6"/>
    </row>
    <row r="273" ht="16.5" customHeight="1">
      <c r="A273" s="6"/>
      <c r="B273" s="6"/>
      <c r="C273" s="6"/>
      <c r="D273" s="6"/>
      <c r="E273" s="6"/>
      <c r="F273" s="6"/>
      <c r="G273" s="6"/>
      <c r="H273" s="93"/>
      <c r="I273" s="93"/>
      <c r="J273" s="93"/>
      <c r="K273" s="93"/>
      <c r="L273" s="93"/>
      <c r="M273" s="6"/>
      <c r="N273" s="6"/>
      <c r="O273" s="6"/>
      <c r="P273" s="6"/>
      <c r="Q273" s="6"/>
      <c r="R273" s="6"/>
      <c r="S273" s="6"/>
      <c r="T273" s="6"/>
      <c r="U273" s="6"/>
      <c r="V273" s="6"/>
      <c r="W273" s="6"/>
      <c r="X273" s="6"/>
      <c r="Y273" s="6"/>
      <c r="Z273" s="6"/>
      <c r="AA273" s="6"/>
      <c r="AB273" s="6"/>
    </row>
    <row r="274" ht="16.5" customHeight="1">
      <c r="A274" s="6"/>
      <c r="B274" s="6"/>
      <c r="C274" s="6"/>
      <c r="D274" s="6"/>
      <c r="E274" s="6"/>
      <c r="F274" s="6"/>
      <c r="G274" s="6"/>
      <c r="H274" s="93"/>
      <c r="I274" s="93"/>
      <c r="J274" s="93"/>
      <c r="K274" s="93"/>
      <c r="L274" s="93"/>
      <c r="M274" s="6"/>
      <c r="N274" s="6"/>
      <c r="O274" s="6"/>
      <c r="P274" s="6"/>
      <c r="Q274" s="6"/>
      <c r="R274" s="6"/>
      <c r="S274" s="6"/>
      <c r="T274" s="6"/>
      <c r="U274" s="6"/>
      <c r="V274" s="6"/>
      <c r="W274" s="6"/>
      <c r="X274" s="6"/>
      <c r="Y274" s="6"/>
      <c r="Z274" s="6"/>
      <c r="AA274" s="6"/>
      <c r="AB274" s="6"/>
    </row>
    <row r="275" ht="16.5" customHeight="1">
      <c r="A275" s="6"/>
      <c r="B275" s="6"/>
      <c r="C275" s="6"/>
      <c r="D275" s="6"/>
      <c r="E275" s="6"/>
      <c r="F275" s="6"/>
      <c r="G275" s="6"/>
      <c r="H275" s="93"/>
      <c r="I275" s="93"/>
      <c r="J275" s="93"/>
      <c r="K275" s="93"/>
      <c r="L275" s="93"/>
      <c r="M275" s="6"/>
      <c r="N275" s="6"/>
      <c r="O275" s="6"/>
      <c r="P275" s="6"/>
      <c r="Q275" s="6"/>
      <c r="R275" s="6"/>
      <c r="S275" s="6"/>
      <c r="T275" s="6"/>
      <c r="U275" s="6"/>
      <c r="V275" s="6"/>
      <c r="W275" s="6"/>
      <c r="X275" s="6"/>
      <c r="Y275" s="6"/>
      <c r="Z275" s="6"/>
      <c r="AA275" s="6"/>
      <c r="AB275" s="6"/>
    </row>
    <row r="276" ht="16.5" customHeight="1">
      <c r="A276" s="6"/>
      <c r="B276" s="6"/>
      <c r="C276" s="6"/>
      <c r="D276" s="6"/>
      <c r="E276" s="6"/>
      <c r="F276" s="6"/>
      <c r="G276" s="6"/>
      <c r="H276" s="93"/>
      <c r="I276" s="93"/>
      <c r="J276" s="93"/>
      <c r="K276" s="93"/>
      <c r="L276" s="93"/>
      <c r="M276" s="6"/>
      <c r="N276" s="6"/>
      <c r="O276" s="6"/>
      <c r="P276" s="6"/>
      <c r="Q276" s="6"/>
      <c r="R276" s="6"/>
      <c r="S276" s="6"/>
      <c r="T276" s="6"/>
      <c r="U276" s="6"/>
      <c r="V276" s="6"/>
      <c r="W276" s="6"/>
      <c r="X276" s="6"/>
      <c r="Y276" s="6"/>
      <c r="Z276" s="6"/>
      <c r="AA276" s="6"/>
      <c r="AB276" s="6"/>
    </row>
    <row r="277" ht="16.5" customHeight="1">
      <c r="A277" s="6"/>
      <c r="B277" s="6"/>
      <c r="C277" s="6"/>
      <c r="D277" s="6"/>
      <c r="E277" s="6"/>
      <c r="F277" s="6"/>
      <c r="G277" s="6"/>
      <c r="H277" s="93"/>
      <c r="I277" s="93"/>
      <c r="J277" s="93"/>
      <c r="K277" s="93"/>
      <c r="L277" s="93"/>
      <c r="M277" s="6"/>
      <c r="N277" s="6"/>
      <c r="O277" s="6"/>
      <c r="P277" s="6"/>
      <c r="Q277" s="6"/>
      <c r="R277" s="6"/>
      <c r="S277" s="6"/>
      <c r="T277" s="6"/>
      <c r="U277" s="6"/>
      <c r="V277" s="6"/>
      <c r="W277" s="6"/>
      <c r="X277" s="6"/>
      <c r="Y277" s="6"/>
      <c r="Z277" s="6"/>
      <c r="AA277" s="6"/>
      <c r="AB277" s="6"/>
    </row>
    <row r="278" ht="16.5" customHeight="1">
      <c r="A278" s="6"/>
      <c r="B278" s="6"/>
      <c r="C278" s="6"/>
      <c r="D278" s="6"/>
      <c r="E278" s="6"/>
      <c r="F278" s="6"/>
      <c r="G278" s="6"/>
      <c r="H278" s="93"/>
      <c r="I278" s="93"/>
      <c r="J278" s="93"/>
      <c r="K278" s="93"/>
      <c r="L278" s="93"/>
      <c r="M278" s="6"/>
      <c r="N278" s="6"/>
      <c r="O278" s="6"/>
      <c r="P278" s="6"/>
      <c r="Q278" s="6"/>
      <c r="R278" s="6"/>
      <c r="S278" s="6"/>
      <c r="T278" s="6"/>
      <c r="U278" s="6"/>
      <c r="V278" s="6"/>
      <c r="W278" s="6"/>
      <c r="X278" s="6"/>
      <c r="Y278" s="6"/>
      <c r="Z278" s="6"/>
      <c r="AA278" s="6"/>
      <c r="AB278" s="6"/>
    </row>
    <row r="279" ht="16.5" customHeight="1">
      <c r="A279" s="6"/>
      <c r="B279" s="6"/>
      <c r="C279" s="6"/>
      <c r="D279" s="6"/>
      <c r="E279" s="6"/>
      <c r="F279" s="6"/>
      <c r="G279" s="6"/>
      <c r="H279" s="93"/>
      <c r="I279" s="93"/>
      <c r="J279" s="93"/>
      <c r="K279" s="93"/>
      <c r="L279" s="93"/>
      <c r="M279" s="6"/>
      <c r="N279" s="6"/>
      <c r="O279" s="6"/>
      <c r="P279" s="6"/>
      <c r="Q279" s="6"/>
      <c r="R279" s="6"/>
      <c r="S279" s="6"/>
      <c r="T279" s="6"/>
      <c r="U279" s="6"/>
      <c r="V279" s="6"/>
      <c r="W279" s="6"/>
      <c r="X279" s="6"/>
      <c r="Y279" s="6"/>
      <c r="Z279" s="6"/>
      <c r="AA279" s="6"/>
      <c r="AB279" s="6"/>
    </row>
    <row r="280" ht="16.5" customHeight="1">
      <c r="A280" s="6"/>
      <c r="B280" s="6"/>
      <c r="C280" s="6"/>
      <c r="D280" s="6"/>
      <c r="E280" s="6"/>
      <c r="F280" s="6"/>
      <c r="G280" s="6"/>
      <c r="H280" s="93"/>
      <c r="I280" s="93"/>
      <c r="J280" s="93"/>
      <c r="K280" s="93"/>
      <c r="L280" s="93"/>
      <c r="M280" s="6"/>
      <c r="N280" s="6"/>
      <c r="O280" s="6"/>
      <c r="P280" s="6"/>
      <c r="Q280" s="6"/>
      <c r="R280" s="6"/>
      <c r="S280" s="6"/>
      <c r="T280" s="6"/>
      <c r="U280" s="6"/>
      <c r="V280" s="6"/>
      <c r="W280" s="6"/>
      <c r="X280" s="6"/>
      <c r="Y280" s="6"/>
      <c r="Z280" s="6"/>
      <c r="AA280" s="6"/>
      <c r="AB280" s="6"/>
    </row>
    <row r="281" ht="16.5" customHeight="1">
      <c r="A281" s="6"/>
      <c r="B281" s="6"/>
      <c r="C281" s="6"/>
      <c r="D281" s="6"/>
      <c r="E281" s="6"/>
      <c r="F281" s="6"/>
      <c r="G281" s="6"/>
      <c r="H281" s="93"/>
      <c r="I281" s="93"/>
      <c r="J281" s="93"/>
      <c r="K281" s="93"/>
      <c r="L281" s="93"/>
      <c r="M281" s="6"/>
      <c r="N281" s="6"/>
      <c r="O281" s="6"/>
      <c r="P281" s="6"/>
      <c r="Q281" s="6"/>
      <c r="R281" s="6"/>
      <c r="S281" s="6"/>
      <c r="T281" s="6"/>
      <c r="U281" s="6"/>
      <c r="V281" s="6"/>
      <c r="W281" s="6"/>
      <c r="X281" s="6"/>
      <c r="Y281" s="6"/>
      <c r="Z281" s="6"/>
      <c r="AA281" s="6"/>
      <c r="AB281" s="6"/>
    </row>
    <row r="282" ht="16.5" customHeight="1">
      <c r="A282" s="6"/>
      <c r="B282" s="6"/>
      <c r="C282" s="6"/>
      <c r="D282" s="6"/>
      <c r="E282" s="6"/>
      <c r="F282" s="6"/>
      <c r="G282" s="6"/>
      <c r="H282" s="93"/>
      <c r="I282" s="93"/>
      <c r="J282" s="93"/>
      <c r="K282" s="93"/>
      <c r="L282" s="93"/>
      <c r="M282" s="6"/>
      <c r="N282" s="6"/>
      <c r="O282" s="6"/>
      <c r="P282" s="6"/>
      <c r="Q282" s="6"/>
      <c r="R282" s="6"/>
      <c r="S282" s="6"/>
      <c r="T282" s="6"/>
      <c r="U282" s="6"/>
      <c r="V282" s="6"/>
      <c r="W282" s="6"/>
      <c r="X282" s="6"/>
      <c r="Y282" s="6"/>
      <c r="Z282" s="6"/>
      <c r="AA282" s="6"/>
      <c r="AB282" s="6"/>
    </row>
    <row r="283" ht="16.5" customHeight="1">
      <c r="A283" s="6"/>
      <c r="B283" s="6"/>
      <c r="C283" s="6"/>
      <c r="D283" s="6"/>
      <c r="E283" s="6"/>
      <c r="F283" s="6"/>
      <c r="G283" s="6"/>
      <c r="H283" s="93"/>
      <c r="I283" s="93"/>
      <c r="J283" s="93"/>
      <c r="K283" s="93"/>
      <c r="L283" s="93"/>
      <c r="M283" s="6"/>
      <c r="N283" s="6"/>
      <c r="O283" s="6"/>
      <c r="P283" s="6"/>
      <c r="Q283" s="6"/>
      <c r="R283" s="6"/>
      <c r="S283" s="6"/>
      <c r="T283" s="6"/>
      <c r="U283" s="6"/>
      <c r="V283" s="6"/>
      <c r="W283" s="6"/>
      <c r="X283" s="6"/>
      <c r="Y283" s="6"/>
      <c r="Z283" s="6"/>
      <c r="AA283" s="6"/>
      <c r="AB283" s="6"/>
    </row>
    <row r="284" ht="16.5" customHeight="1">
      <c r="A284" s="6"/>
      <c r="B284" s="6"/>
      <c r="C284" s="6"/>
      <c r="D284" s="6"/>
      <c r="E284" s="6"/>
      <c r="F284" s="6"/>
      <c r="G284" s="6"/>
      <c r="H284" s="93"/>
      <c r="I284" s="93"/>
      <c r="J284" s="93"/>
      <c r="K284" s="93"/>
      <c r="L284" s="93"/>
      <c r="M284" s="6"/>
      <c r="N284" s="6"/>
      <c r="O284" s="6"/>
      <c r="P284" s="6"/>
      <c r="Q284" s="6"/>
      <c r="R284" s="6"/>
      <c r="S284" s="6"/>
      <c r="T284" s="6"/>
      <c r="U284" s="6"/>
      <c r="V284" s="6"/>
      <c r="W284" s="6"/>
      <c r="X284" s="6"/>
      <c r="Y284" s="6"/>
      <c r="Z284" s="6"/>
      <c r="AA284" s="6"/>
      <c r="AB284" s="6"/>
    </row>
    <row r="285" ht="16.5" customHeight="1">
      <c r="A285" s="6"/>
      <c r="B285" s="6"/>
      <c r="C285" s="6"/>
      <c r="D285" s="6"/>
      <c r="E285" s="6"/>
      <c r="F285" s="6"/>
      <c r="G285" s="6"/>
      <c r="H285" s="93"/>
      <c r="I285" s="93"/>
      <c r="J285" s="93"/>
      <c r="K285" s="93"/>
      <c r="L285" s="93"/>
      <c r="M285" s="6"/>
      <c r="N285" s="6"/>
      <c r="O285" s="6"/>
      <c r="P285" s="6"/>
      <c r="Q285" s="6"/>
      <c r="R285" s="6"/>
      <c r="S285" s="6"/>
      <c r="T285" s="6"/>
      <c r="U285" s="6"/>
      <c r="V285" s="6"/>
      <c r="W285" s="6"/>
      <c r="X285" s="6"/>
      <c r="Y285" s="6"/>
      <c r="Z285" s="6"/>
      <c r="AA285" s="6"/>
      <c r="AB285" s="6"/>
    </row>
    <row r="286" ht="16.5" customHeight="1">
      <c r="A286" s="6"/>
      <c r="B286" s="6"/>
      <c r="C286" s="6"/>
      <c r="D286" s="6"/>
      <c r="E286" s="6"/>
      <c r="F286" s="6"/>
      <c r="G286" s="6"/>
      <c r="H286" s="93"/>
      <c r="I286" s="93"/>
      <c r="J286" s="93"/>
      <c r="K286" s="93"/>
      <c r="L286" s="93"/>
      <c r="M286" s="6"/>
      <c r="N286" s="6"/>
      <c r="O286" s="6"/>
      <c r="P286" s="6"/>
      <c r="Q286" s="6"/>
      <c r="R286" s="6"/>
      <c r="S286" s="6"/>
      <c r="T286" s="6"/>
      <c r="U286" s="6"/>
      <c r="V286" s="6"/>
      <c r="W286" s="6"/>
      <c r="X286" s="6"/>
      <c r="Y286" s="6"/>
      <c r="Z286" s="6"/>
      <c r="AA286" s="6"/>
      <c r="AB286" s="6"/>
    </row>
    <row r="287" ht="16.5" customHeight="1">
      <c r="A287" s="6"/>
      <c r="B287" s="6"/>
      <c r="C287" s="6"/>
      <c r="D287" s="6"/>
      <c r="E287" s="6"/>
      <c r="F287" s="6"/>
      <c r="G287" s="6"/>
      <c r="H287" s="93"/>
      <c r="I287" s="93"/>
      <c r="J287" s="93"/>
      <c r="K287" s="93"/>
      <c r="L287" s="93"/>
      <c r="M287" s="6"/>
      <c r="N287" s="6"/>
      <c r="O287" s="6"/>
      <c r="P287" s="6"/>
      <c r="Q287" s="6"/>
      <c r="R287" s="6"/>
      <c r="S287" s="6"/>
      <c r="T287" s="6"/>
      <c r="U287" s="6"/>
      <c r="V287" s="6"/>
      <c r="W287" s="6"/>
      <c r="X287" s="6"/>
      <c r="Y287" s="6"/>
      <c r="Z287" s="6"/>
      <c r="AA287" s="6"/>
      <c r="AB287" s="6"/>
    </row>
    <row r="288" ht="16.5" customHeight="1">
      <c r="A288" s="6"/>
      <c r="B288" s="6"/>
      <c r="C288" s="6"/>
      <c r="D288" s="6"/>
      <c r="E288" s="6"/>
      <c r="F288" s="6"/>
      <c r="G288" s="6"/>
      <c r="H288" s="93"/>
      <c r="I288" s="93"/>
      <c r="J288" s="93"/>
      <c r="K288" s="93"/>
      <c r="L288" s="93"/>
      <c r="M288" s="6"/>
      <c r="N288" s="6"/>
      <c r="O288" s="6"/>
      <c r="P288" s="6"/>
      <c r="Q288" s="6"/>
      <c r="R288" s="6"/>
      <c r="S288" s="6"/>
      <c r="T288" s="6"/>
      <c r="U288" s="6"/>
      <c r="V288" s="6"/>
      <c r="W288" s="6"/>
      <c r="X288" s="6"/>
      <c r="Y288" s="6"/>
      <c r="Z288" s="6"/>
      <c r="AA288" s="6"/>
      <c r="AB288" s="6"/>
    </row>
    <row r="289" ht="16.5" customHeight="1">
      <c r="A289" s="6"/>
      <c r="B289" s="6"/>
      <c r="C289" s="6"/>
      <c r="D289" s="6"/>
      <c r="E289" s="6"/>
      <c r="F289" s="6"/>
      <c r="G289" s="6"/>
      <c r="H289" s="93"/>
      <c r="I289" s="93"/>
      <c r="J289" s="93"/>
      <c r="K289" s="93"/>
      <c r="L289" s="93"/>
      <c r="M289" s="6"/>
      <c r="N289" s="6"/>
      <c r="O289" s="6"/>
      <c r="P289" s="6"/>
      <c r="Q289" s="6"/>
      <c r="R289" s="6"/>
      <c r="S289" s="6"/>
      <c r="T289" s="6"/>
      <c r="U289" s="6"/>
      <c r="V289" s="6"/>
      <c r="W289" s="6"/>
      <c r="X289" s="6"/>
      <c r="Y289" s="6"/>
      <c r="Z289" s="6"/>
      <c r="AA289" s="6"/>
      <c r="AB289" s="6"/>
    </row>
    <row r="290" ht="16.5" customHeight="1">
      <c r="A290" s="6"/>
      <c r="B290" s="6"/>
      <c r="C290" s="6"/>
      <c r="D290" s="6"/>
      <c r="E290" s="6"/>
      <c r="F290" s="6"/>
      <c r="G290" s="6"/>
      <c r="H290" s="93"/>
      <c r="I290" s="93"/>
      <c r="J290" s="93"/>
      <c r="K290" s="93"/>
      <c r="L290" s="93"/>
      <c r="M290" s="6"/>
      <c r="N290" s="6"/>
      <c r="O290" s="6"/>
      <c r="P290" s="6"/>
      <c r="Q290" s="6"/>
      <c r="R290" s="6"/>
      <c r="S290" s="6"/>
      <c r="T290" s="6"/>
      <c r="U290" s="6"/>
      <c r="V290" s="6"/>
      <c r="W290" s="6"/>
      <c r="X290" s="6"/>
      <c r="Y290" s="6"/>
      <c r="Z290" s="6"/>
      <c r="AA290" s="6"/>
      <c r="AB290" s="6"/>
    </row>
    <row r="291" ht="16.5" customHeight="1">
      <c r="A291" s="6"/>
      <c r="B291" s="6"/>
      <c r="C291" s="6"/>
      <c r="D291" s="6"/>
      <c r="E291" s="6"/>
      <c r="F291" s="6"/>
      <c r="G291" s="6"/>
      <c r="H291" s="93"/>
      <c r="I291" s="93"/>
      <c r="J291" s="93"/>
      <c r="K291" s="93"/>
      <c r="L291" s="93"/>
      <c r="M291" s="6"/>
      <c r="N291" s="6"/>
      <c r="O291" s="6"/>
      <c r="P291" s="6"/>
      <c r="Q291" s="6"/>
      <c r="R291" s="6"/>
      <c r="S291" s="6"/>
      <c r="T291" s="6"/>
      <c r="U291" s="6"/>
      <c r="V291" s="6"/>
      <c r="W291" s="6"/>
      <c r="X291" s="6"/>
      <c r="Y291" s="6"/>
      <c r="Z291" s="6"/>
      <c r="AA291" s="6"/>
      <c r="AB291" s="6"/>
    </row>
    <row r="292" ht="16.5" customHeight="1">
      <c r="A292" s="6"/>
      <c r="B292" s="6"/>
      <c r="C292" s="6"/>
      <c r="D292" s="6"/>
      <c r="E292" s="6"/>
      <c r="F292" s="6"/>
      <c r="G292" s="6"/>
      <c r="H292" s="93"/>
      <c r="I292" s="93"/>
      <c r="J292" s="93"/>
      <c r="K292" s="93"/>
      <c r="L292" s="93"/>
      <c r="M292" s="6"/>
      <c r="N292" s="6"/>
      <c r="O292" s="6"/>
      <c r="P292" s="6"/>
      <c r="Q292" s="6"/>
      <c r="R292" s="6"/>
      <c r="S292" s="6"/>
      <c r="T292" s="6"/>
      <c r="U292" s="6"/>
      <c r="V292" s="6"/>
      <c r="W292" s="6"/>
      <c r="X292" s="6"/>
      <c r="Y292" s="6"/>
      <c r="Z292" s="6"/>
      <c r="AA292" s="6"/>
      <c r="AB292" s="6"/>
    </row>
    <row r="293" ht="16.5" customHeight="1">
      <c r="A293" s="6"/>
      <c r="B293" s="6"/>
      <c r="C293" s="6"/>
      <c r="D293" s="6"/>
      <c r="E293" s="6"/>
      <c r="F293" s="6"/>
      <c r="G293" s="6"/>
      <c r="H293" s="93"/>
      <c r="I293" s="93"/>
      <c r="J293" s="93"/>
      <c r="K293" s="93"/>
      <c r="L293" s="93"/>
      <c r="M293" s="6"/>
      <c r="N293" s="6"/>
      <c r="O293" s="6"/>
      <c r="P293" s="6"/>
      <c r="Q293" s="6"/>
      <c r="R293" s="6"/>
      <c r="S293" s="6"/>
      <c r="T293" s="6"/>
      <c r="U293" s="6"/>
      <c r="V293" s="6"/>
      <c r="W293" s="6"/>
      <c r="X293" s="6"/>
      <c r="Y293" s="6"/>
      <c r="Z293" s="6"/>
      <c r="AA293" s="6"/>
      <c r="AB293" s="6"/>
    </row>
    <row r="294" ht="16.5" customHeight="1">
      <c r="A294" s="6"/>
      <c r="B294" s="6"/>
      <c r="C294" s="6"/>
      <c r="D294" s="6"/>
      <c r="E294" s="6"/>
      <c r="F294" s="6"/>
      <c r="G294" s="6"/>
      <c r="H294" s="93"/>
      <c r="I294" s="93"/>
      <c r="J294" s="93"/>
      <c r="K294" s="93"/>
      <c r="L294" s="93"/>
      <c r="M294" s="6"/>
      <c r="N294" s="6"/>
      <c r="O294" s="6"/>
      <c r="P294" s="6"/>
      <c r="Q294" s="6"/>
      <c r="R294" s="6"/>
      <c r="S294" s="6"/>
      <c r="T294" s="6"/>
      <c r="U294" s="6"/>
      <c r="V294" s="6"/>
      <c r="W294" s="6"/>
      <c r="X294" s="6"/>
      <c r="Y294" s="6"/>
      <c r="Z294" s="6"/>
      <c r="AA294" s="6"/>
      <c r="AB294" s="6"/>
    </row>
    <row r="295" ht="16.5" customHeight="1">
      <c r="A295" s="6"/>
      <c r="B295" s="6"/>
      <c r="C295" s="6"/>
      <c r="D295" s="6"/>
      <c r="E295" s="6"/>
      <c r="F295" s="6"/>
      <c r="G295" s="6"/>
      <c r="H295" s="93"/>
      <c r="I295" s="93"/>
      <c r="J295" s="93"/>
      <c r="K295" s="93"/>
      <c r="L295" s="93"/>
      <c r="M295" s="6"/>
      <c r="N295" s="6"/>
      <c r="O295" s="6"/>
      <c r="P295" s="6"/>
      <c r="Q295" s="6"/>
      <c r="R295" s="6"/>
      <c r="S295" s="6"/>
      <c r="T295" s="6"/>
      <c r="U295" s="6"/>
      <c r="V295" s="6"/>
      <c r="W295" s="6"/>
      <c r="X295" s="6"/>
      <c r="Y295" s="6"/>
      <c r="Z295" s="6"/>
      <c r="AA295" s="6"/>
      <c r="AB295" s="6"/>
    </row>
    <row r="296" ht="16.5" customHeight="1">
      <c r="A296" s="6"/>
      <c r="B296" s="6"/>
      <c r="C296" s="6"/>
      <c r="D296" s="6"/>
      <c r="E296" s="6"/>
      <c r="F296" s="6"/>
      <c r="G296" s="6"/>
      <c r="H296" s="93"/>
      <c r="I296" s="93"/>
      <c r="J296" s="93"/>
      <c r="K296" s="93"/>
      <c r="L296" s="93"/>
      <c r="M296" s="6"/>
      <c r="N296" s="6"/>
      <c r="O296" s="6"/>
      <c r="P296" s="6"/>
      <c r="Q296" s="6"/>
      <c r="R296" s="6"/>
      <c r="S296" s="6"/>
      <c r="T296" s="6"/>
      <c r="U296" s="6"/>
      <c r="V296" s="6"/>
      <c r="W296" s="6"/>
      <c r="X296" s="6"/>
      <c r="Y296" s="6"/>
      <c r="Z296" s="6"/>
      <c r="AA296" s="6"/>
      <c r="AB296" s="6"/>
    </row>
    <row r="297" ht="16.5" customHeight="1">
      <c r="A297" s="6"/>
      <c r="B297" s="6"/>
      <c r="C297" s="6"/>
      <c r="D297" s="6"/>
      <c r="E297" s="6"/>
      <c r="F297" s="6"/>
      <c r="G297" s="6"/>
      <c r="H297" s="93"/>
      <c r="I297" s="93"/>
      <c r="J297" s="93"/>
      <c r="K297" s="93"/>
      <c r="L297" s="93"/>
      <c r="M297" s="6"/>
      <c r="N297" s="6"/>
      <c r="O297" s="6"/>
      <c r="P297" s="6"/>
      <c r="Q297" s="6"/>
      <c r="R297" s="6"/>
      <c r="S297" s="6"/>
      <c r="T297" s="6"/>
      <c r="U297" s="6"/>
      <c r="V297" s="6"/>
      <c r="W297" s="6"/>
      <c r="X297" s="6"/>
      <c r="Y297" s="6"/>
      <c r="Z297" s="6"/>
      <c r="AA297" s="6"/>
      <c r="AB297" s="6"/>
    </row>
    <row r="298" ht="16.5" customHeight="1">
      <c r="A298" s="6"/>
      <c r="B298" s="6"/>
      <c r="C298" s="6"/>
      <c r="D298" s="6"/>
      <c r="E298" s="6"/>
      <c r="F298" s="6"/>
      <c r="G298" s="6"/>
      <c r="H298" s="93"/>
      <c r="I298" s="93"/>
      <c r="J298" s="93"/>
      <c r="K298" s="93"/>
      <c r="L298" s="93"/>
      <c r="M298" s="6"/>
      <c r="N298" s="6"/>
      <c r="O298" s="6"/>
      <c r="P298" s="6"/>
      <c r="Q298" s="6"/>
      <c r="R298" s="6"/>
      <c r="S298" s="6"/>
      <c r="T298" s="6"/>
      <c r="U298" s="6"/>
      <c r="V298" s="6"/>
      <c r="W298" s="6"/>
      <c r="X298" s="6"/>
      <c r="Y298" s="6"/>
      <c r="Z298" s="6"/>
      <c r="AA298" s="6"/>
      <c r="AB298" s="6"/>
    </row>
    <row r="299" ht="16.5" customHeight="1">
      <c r="A299" s="6"/>
      <c r="B299" s="6"/>
      <c r="C299" s="6"/>
      <c r="D299" s="6"/>
      <c r="E299" s="6"/>
      <c r="F299" s="6"/>
      <c r="G299" s="6"/>
      <c r="H299" s="93"/>
      <c r="I299" s="93"/>
      <c r="J299" s="93"/>
      <c r="K299" s="93"/>
      <c r="L299" s="93"/>
      <c r="M299" s="6"/>
      <c r="N299" s="6"/>
      <c r="O299" s="6"/>
      <c r="P299" s="6"/>
      <c r="Q299" s="6"/>
      <c r="R299" s="6"/>
      <c r="S299" s="6"/>
      <c r="T299" s="6"/>
      <c r="U299" s="6"/>
      <c r="V299" s="6"/>
      <c r="W299" s="6"/>
      <c r="X299" s="6"/>
      <c r="Y299" s="6"/>
      <c r="Z299" s="6"/>
      <c r="AA299" s="6"/>
      <c r="AB299" s="6"/>
    </row>
    <row r="300" ht="16.5" customHeight="1">
      <c r="A300" s="6"/>
      <c r="B300" s="6"/>
      <c r="C300" s="6"/>
      <c r="D300" s="6"/>
      <c r="E300" s="6"/>
      <c r="F300" s="6"/>
      <c r="G300" s="6"/>
      <c r="H300" s="93"/>
      <c r="I300" s="93"/>
      <c r="J300" s="93"/>
      <c r="K300" s="93"/>
      <c r="L300" s="93"/>
      <c r="M300" s="6"/>
      <c r="N300" s="6"/>
      <c r="O300" s="6"/>
      <c r="P300" s="6"/>
      <c r="Q300" s="6"/>
      <c r="R300" s="6"/>
      <c r="S300" s="6"/>
      <c r="T300" s="6"/>
      <c r="U300" s="6"/>
      <c r="V300" s="6"/>
      <c r="W300" s="6"/>
      <c r="X300" s="6"/>
      <c r="Y300" s="6"/>
      <c r="Z300" s="6"/>
      <c r="AA300" s="6"/>
      <c r="AB300" s="6"/>
    </row>
    <row r="301" ht="16.5" customHeight="1">
      <c r="A301" s="6"/>
      <c r="B301" s="6"/>
      <c r="C301" s="6"/>
      <c r="D301" s="6"/>
      <c r="E301" s="6"/>
      <c r="F301" s="6"/>
      <c r="G301" s="6"/>
      <c r="H301" s="93"/>
      <c r="I301" s="93"/>
      <c r="J301" s="93"/>
      <c r="K301" s="93"/>
      <c r="L301" s="93"/>
      <c r="M301" s="6"/>
      <c r="N301" s="6"/>
      <c r="O301" s="6"/>
      <c r="P301" s="6"/>
      <c r="Q301" s="6"/>
      <c r="R301" s="6"/>
      <c r="S301" s="6"/>
      <c r="T301" s="6"/>
      <c r="U301" s="6"/>
      <c r="V301" s="6"/>
      <c r="W301" s="6"/>
      <c r="X301" s="6"/>
      <c r="Y301" s="6"/>
      <c r="Z301" s="6"/>
      <c r="AA301" s="6"/>
      <c r="AB301" s="6"/>
    </row>
    <row r="302" ht="16.5" customHeight="1">
      <c r="A302" s="6"/>
      <c r="B302" s="6"/>
      <c r="C302" s="6"/>
      <c r="D302" s="6"/>
      <c r="E302" s="6"/>
      <c r="F302" s="6"/>
      <c r="G302" s="6"/>
      <c r="H302" s="93"/>
      <c r="I302" s="93"/>
      <c r="J302" s="93"/>
      <c r="K302" s="93"/>
      <c r="L302" s="93"/>
      <c r="M302" s="6"/>
      <c r="N302" s="6"/>
      <c r="O302" s="6"/>
      <c r="P302" s="6"/>
      <c r="Q302" s="6"/>
      <c r="R302" s="6"/>
      <c r="S302" s="6"/>
      <c r="T302" s="6"/>
      <c r="U302" s="6"/>
      <c r="V302" s="6"/>
      <c r="W302" s="6"/>
      <c r="X302" s="6"/>
      <c r="Y302" s="6"/>
      <c r="Z302" s="6"/>
      <c r="AA302" s="6"/>
      <c r="AB302" s="6"/>
    </row>
    <row r="303" ht="16.5" customHeight="1">
      <c r="A303" s="6"/>
      <c r="B303" s="6"/>
      <c r="C303" s="6"/>
      <c r="D303" s="6"/>
      <c r="E303" s="6"/>
      <c r="F303" s="6"/>
      <c r="G303" s="6"/>
      <c r="H303" s="93"/>
      <c r="I303" s="93"/>
      <c r="J303" s="93"/>
      <c r="K303" s="93"/>
      <c r="L303" s="93"/>
      <c r="M303" s="6"/>
      <c r="N303" s="6"/>
      <c r="O303" s="6"/>
      <c r="P303" s="6"/>
      <c r="Q303" s="6"/>
      <c r="R303" s="6"/>
      <c r="S303" s="6"/>
      <c r="T303" s="6"/>
      <c r="U303" s="6"/>
      <c r="V303" s="6"/>
      <c r="W303" s="6"/>
      <c r="X303" s="6"/>
      <c r="Y303" s="6"/>
      <c r="Z303" s="6"/>
      <c r="AA303" s="6"/>
      <c r="AB303" s="6"/>
    </row>
    <row r="304" ht="16.5" customHeight="1">
      <c r="A304" s="6"/>
      <c r="B304" s="6"/>
      <c r="C304" s="6"/>
      <c r="D304" s="6"/>
      <c r="E304" s="6"/>
      <c r="F304" s="6"/>
      <c r="G304" s="6"/>
      <c r="H304" s="93"/>
      <c r="I304" s="93"/>
      <c r="J304" s="93"/>
      <c r="K304" s="93"/>
      <c r="L304" s="93"/>
      <c r="M304" s="6"/>
      <c r="N304" s="6"/>
      <c r="O304" s="6"/>
      <c r="P304" s="6"/>
      <c r="Q304" s="6"/>
      <c r="R304" s="6"/>
      <c r="S304" s="6"/>
      <c r="T304" s="6"/>
      <c r="U304" s="6"/>
      <c r="V304" s="6"/>
      <c r="W304" s="6"/>
      <c r="X304" s="6"/>
      <c r="Y304" s="6"/>
      <c r="Z304" s="6"/>
      <c r="AA304" s="6"/>
      <c r="AB304" s="6"/>
    </row>
    <row r="305" ht="16.5" customHeight="1">
      <c r="A305" s="6"/>
      <c r="B305" s="6"/>
      <c r="C305" s="6"/>
      <c r="D305" s="6"/>
      <c r="E305" s="6"/>
      <c r="F305" s="6"/>
      <c r="G305" s="6"/>
      <c r="H305" s="93"/>
      <c r="I305" s="93"/>
      <c r="J305" s="93"/>
      <c r="K305" s="93"/>
      <c r="L305" s="93"/>
      <c r="M305" s="6"/>
      <c r="N305" s="6"/>
      <c r="O305" s="6"/>
      <c r="P305" s="6"/>
      <c r="Q305" s="6"/>
      <c r="R305" s="6"/>
      <c r="S305" s="6"/>
      <c r="T305" s="6"/>
      <c r="U305" s="6"/>
      <c r="V305" s="6"/>
      <c r="W305" s="6"/>
      <c r="X305" s="6"/>
      <c r="Y305" s="6"/>
      <c r="Z305" s="6"/>
      <c r="AA305" s="6"/>
      <c r="AB305" s="6"/>
    </row>
    <row r="306" ht="16.5" customHeight="1">
      <c r="A306" s="6"/>
      <c r="B306" s="6"/>
      <c r="C306" s="6"/>
      <c r="D306" s="6"/>
      <c r="E306" s="6"/>
      <c r="F306" s="6"/>
      <c r="G306" s="6"/>
      <c r="H306" s="93"/>
      <c r="I306" s="93"/>
      <c r="J306" s="93"/>
      <c r="K306" s="93"/>
      <c r="L306" s="93"/>
      <c r="M306" s="6"/>
      <c r="N306" s="6"/>
      <c r="O306" s="6"/>
      <c r="P306" s="6"/>
      <c r="Q306" s="6"/>
      <c r="R306" s="6"/>
      <c r="S306" s="6"/>
      <c r="T306" s="6"/>
      <c r="U306" s="6"/>
      <c r="V306" s="6"/>
      <c r="W306" s="6"/>
      <c r="X306" s="6"/>
      <c r="Y306" s="6"/>
      <c r="Z306" s="6"/>
      <c r="AA306" s="6"/>
      <c r="AB306" s="6"/>
    </row>
    <row r="307" ht="16.5" customHeight="1">
      <c r="A307" s="6"/>
      <c r="B307" s="6"/>
      <c r="C307" s="6"/>
      <c r="D307" s="6"/>
      <c r="E307" s="6"/>
      <c r="F307" s="6"/>
      <c r="G307" s="6"/>
      <c r="H307" s="93"/>
      <c r="I307" s="93"/>
      <c r="J307" s="93"/>
      <c r="K307" s="93"/>
      <c r="L307" s="93"/>
      <c r="M307" s="6"/>
      <c r="N307" s="6"/>
      <c r="O307" s="6"/>
      <c r="P307" s="6"/>
      <c r="Q307" s="6"/>
      <c r="R307" s="6"/>
      <c r="S307" s="6"/>
      <c r="T307" s="6"/>
      <c r="U307" s="6"/>
      <c r="V307" s="6"/>
      <c r="W307" s="6"/>
      <c r="X307" s="6"/>
      <c r="Y307" s="6"/>
      <c r="Z307" s="6"/>
      <c r="AA307" s="6"/>
      <c r="AB307" s="6"/>
    </row>
    <row r="308" ht="16.5" customHeight="1">
      <c r="A308" s="6"/>
      <c r="B308" s="6"/>
      <c r="C308" s="6"/>
      <c r="D308" s="6"/>
      <c r="E308" s="6"/>
      <c r="F308" s="6"/>
      <c r="G308" s="6"/>
      <c r="H308" s="93"/>
      <c r="I308" s="93"/>
      <c r="J308" s="93"/>
      <c r="K308" s="93"/>
      <c r="L308" s="93"/>
      <c r="M308" s="6"/>
      <c r="N308" s="6"/>
      <c r="O308" s="6"/>
      <c r="P308" s="6"/>
      <c r="Q308" s="6"/>
      <c r="R308" s="6"/>
      <c r="S308" s="6"/>
      <c r="T308" s="6"/>
      <c r="U308" s="6"/>
      <c r="V308" s="6"/>
      <c r="W308" s="6"/>
      <c r="X308" s="6"/>
      <c r="Y308" s="6"/>
      <c r="Z308" s="6"/>
      <c r="AA308" s="6"/>
      <c r="AB308" s="6"/>
    </row>
    <row r="309" ht="16.5" customHeight="1">
      <c r="A309" s="6"/>
      <c r="B309" s="6"/>
      <c r="C309" s="6"/>
      <c r="D309" s="6"/>
      <c r="E309" s="6"/>
      <c r="F309" s="6"/>
      <c r="G309" s="6"/>
      <c r="H309" s="93"/>
      <c r="I309" s="93"/>
      <c r="J309" s="93"/>
      <c r="K309" s="93"/>
      <c r="L309" s="93"/>
      <c r="M309" s="6"/>
      <c r="N309" s="6"/>
      <c r="O309" s="6"/>
      <c r="P309" s="6"/>
      <c r="Q309" s="6"/>
      <c r="R309" s="6"/>
      <c r="S309" s="6"/>
      <c r="T309" s="6"/>
      <c r="U309" s="6"/>
      <c r="V309" s="6"/>
      <c r="W309" s="6"/>
      <c r="X309" s="6"/>
      <c r="Y309" s="6"/>
      <c r="Z309" s="6"/>
      <c r="AA309" s="6"/>
      <c r="AB309" s="6"/>
    </row>
    <row r="310" ht="16.5" customHeight="1">
      <c r="A310" s="6"/>
      <c r="B310" s="6"/>
      <c r="C310" s="6"/>
      <c r="D310" s="6"/>
      <c r="E310" s="6"/>
      <c r="F310" s="6"/>
      <c r="G310" s="6"/>
      <c r="H310" s="93"/>
      <c r="I310" s="93"/>
      <c r="J310" s="93"/>
      <c r="K310" s="93"/>
      <c r="L310" s="93"/>
      <c r="M310" s="6"/>
      <c r="N310" s="6"/>
      <c r="O310" s="6"/>
      <c r="P310" s="6"/>
      <c r="Q310" s="6"/>
      <c r="R310" s="6"/>
      <c r="S310" s="6"/>
      <c r="T310" s="6"/>
      <c r="U310" s="6"/>
      <c r="V310" s="6"/>
      <c r="W310" s="6"/>
      <c r="X310" s="6"/>
      <c r="Y310" s="6"/>
      <c r="Z310" s="6"/>
      <c r="AA310" s="6"/>
      <c r="AB310" s="6"/>
    </row>
    <row r="311" ht="16.5" customHeight="1">
      <c r="A311" s="6"/>
      <c r="B311" s="6"/>
      <c r="C311" s="6"/>
      <c r="D311" s="6"/>
      <c r="E311" s="6"/>
      <c r="F311" s="6"/>
      <c r="G311" s="6"/>
      <c r="H311" s="93"/>
      <c r="I311" s="93"/>
      <c r="J311" s="93"/>
      <c r="K311" s="93"/>
      <c r="L311" s="93"/>
      <c r="M311" s="6"/>
      <c r="N311" s="6"/>
      <c r="O311" s="6"/>
      <c r="P311" s="6"/>
      <c r="Q311" s="6"/>
      <c r="R311" s="6"/>
      <c r="S311" s="6"/>
      <c r="T311" s="6"/>
      <c r="U311" s="6"/>
      <c r="V311" s="6"/>
      <c r="W311" s="6"/>
      <c r="X311" s="6"/>
      <c r="Y311" s="6"/>
      <c r="Z311" s="6"/>
      <c r="AA311" s="6"/>
      <c r="AB311" s="6"/>
    </row>
    <row r="312" ht="16.5" customHeight="1">
      <c r="A312" s="6"/>
      <c r="B312" s="6"/>
      <c r="C312" s="6"/>
      <c r="D312" s="6"/>
      <c r="E312" s="6"/>
      <c r="F312" s="6"/>
      <c r="G312" s="6"/>
      <c r="H312" s="93"/>
      <c r="I312" s="93"/>
      <c r="J312" s="93"/>
      <c r="K312" s="93"/>
      <c r="L312" s="93"/>
      <c r="M312" s="6"/>
      <c r="N312" s="6"/>
      <c r="O312" s="6"/>
      <c r="P312" s="6"/>
      <c r="Q312" s="6"/>
      <c r="R312" s="6"/>
      <c r="S312" s="6"/>
      <c r="T312" s="6"/>
      <c r="U312" s="6"/>
      <c r="V312" s="6"/>
      <c r="W312" s="6"/>
      <c r="X312" s="6"/>
      <c r="Y312" s="6"/>
      <c r="Z312" s="6"/>
      <c r="AA312" s="6"/>
      <c r="AB312" s="6"/>
    </row>
    <row r="313" ht="16.5" customHeight="1">
      <c r="A313" s="6"/>
      <c r="B313" s="6"/>
      <c r="C313" s="6"/>
      <c r="D313" s="6"/>
      <c r="E313" s="6"/>
      <c r="F313" s="6"/>
      <c r="G313" s="6"/>
      <c r="H313" s="93"/>
      <c r="I313" s="93"/>
      <c r="J313" s="93"/>
      <c r="K313" s="93"/>
      <c r="L313" s="93"/>
      <c r="M313" s="6"/>
      <c r="N313" s="6"/>
      <c r="O313" s="6"/>
      <c r="P313" s="6"/>
      <c r="Q313" s="6"/>
      <c r="R313" s="6"/>
      <c r="S313" s="6"/>
      <c r="T313" s="6"/>
      <c r="U313" s="6"/>
      <c r="V313" s="6"/>
      <c r="W313" s="6"/>
      <c r="X313" s="6"/>
      <c r="Y313" s="6"/>
      <c r="Z313" s="6"/>
      <c r="AA313" s="6"/>
      <c r="AB313" s="6"/>
    </row>
    <row r="314" ht="16.5" customHeight="1">
      <c r="A314" s="6"/>
      <c r="B314" s="6"/>
      <c r="C314" s="6"/>
      <c r="D314" s="6"/>
      <c r="E314" s="6"/>
      <c r="F314" s="6"/>
      <c r="G314" s="6"/>
      <c r="H314" s="93"/>
      <c r="I314" s="93"/>
      <c r="J314" s="93"/>
      <c r="K314" s="93"/>
      <c r="L314" s="93"/>
      <c r="M314" s="6"/>
      <c r="N314" s="6"/>
      <c r="O314" s="6"/>
      <c r="P314" s="6"/>
      <c r="Q314" s="6"/>
      <c r="R314" s="6"/>
      <c r="S314" s="6"/>
      <c r="T314" s="6"/>
      <c r="U314" s="6"/>
      <c r="V314" s="6"/>
      <c r="W314" s="6"/>
      <c r="X314" s="6"/>
      <c r="Y314" s="6"/>
      <c r="Z314" s="6"/>
      <c r="AA314" s="6"/>
      <c r="AB314" s="6"/>
    </row>
    <row r="315" ht="16.5" customHeight="1">
      <c r="A315" s="6"/>
      <c r="B315" s="6"/>
      <c r="C315" s="6"/>
      <c r="D315" s="6"/>
      <c r="E315" s="6"/>
      <c r="F315" s="6"/>
      <c r="G315" s="6"/>
      <c r="H315" s="93"/>
      <c r="I315" s="93"/>
      <c r="J315" s="93"/>
      <c r="K315" s="93"/>
      <c r="L315" s="93"/>
      <c r="M315" s="6"/>
      <c r="N315" s="6"/>
      <c r="O315" s="6"/>
      <c r="P315" s="6"/>
      <c r="Q315" s="6"/>
      <c r="R315" s="6"/>
      <c r="S315" s="6"/>
      <c r="T315" s="6"/>
      <c r="U315" s="6"/>
      <c r="V315" s="6"/>
      <c r="W315" s="6"/>
      <c r="X315" s="6"/>
      <c r="Y315" s="6"/>
      <c r="Z315" s="6"/>
      <c r="AA315" s="6"/>
      <c r="AB315" s="6"/>
    </row>
    <row r="316" ht="16.5" customHeight="1">
      <c r="A316" s="6"/>
      <c r="B316" s="6"/>
      <c r="C316" s="6"/>
      <c r="D316" s="6"/>
      <c r="E316" s="6"/>
      <c r="F316" s="6"/>
      <c r="G316" s="6"/>
      <c r="H316" s="93"/>
      <c r="I316" s="93"/>
      <c r="J316" s="93"/>
      <c r="K316" s="93"/>
      <c r="L316" s="93"/>
      <c r="M316" s="6"/>
      <c r="N316" s="6"/>
      <c r="O316" s="6"/>
      <c r="P316" s="6"/>
      <c r="Q316" s="6"/>
      <c r="R316" s="6"/>
      <c r="S316" s="6"/>
      <c r="T316" s="6"/>
      <c r="U316" s="6"/>
      <c r="V316" s="6"/>
      <c r="W316" s="6"/>
      <c r="X316" s="6"/>
      <c r="Y316" s="6"/>
      <c r="Z316" s="6"/>
      <c r="AA316" s="6"/>
      <c r="AB316" s="6"/>
    </row>
    <row r="317" ht="16.5" customHeight="1">
      <c r="A317" s="6"/>
      <c r="B317" s="6"/>
      <c r="C317" s="6"/>
      <c r="D317" s="6"/>
      <c r="E317" s="6"/>
      <c r="F317" s="6"/>
      <c r="G317" s="6"/>
      <c r="H317" s="93"/>
      <c r="I317" s="93"/>
      <c r="J317" s="93"/>
      <c r="K317" s="93"/>
      <c r="L317" s="93"/>
      <c r="M317" s="6"/>
      <c r="N317" s="6"/>
      <c r="O317" s="6"/>
      <c r="P317" s="6"/>
      <c r="Q317" s="6"/>
      <c r="R317" s="6"/>
      <c r="S317" s="6"/>
      <c r="T317" s="6"/>
      <c r="U317" s="6"/>
      <c r="V317" s="6"/>
      <c r="W317" s="6"/>
      <c r="X317" s="6"/>
      <c r="Y317" s="6"/>
      <c r="Z317" s="6"/>
      <c r="AA317" s="6"/>
      <c r="AB317" s="6"/>
    </row>
    <row r="318" ht="16.5" customHeight="1">
      <c r="A318" s="6"/>
      <c r="B318" s="6"/>
      <c r="C318" s="6"/>
      <c r="D318" s="6"/>
      <c r="E318" s="6"/>
      <c r="F318" s="6"/>
      <c r="G318" s="6"/>
      <c r="H318" s="93"/>
      <c r="I318" s="93"/>
      <c r="J318" s="93"/>
      <c r="K318" s="93"/>
      <c r="L318" s="93"/>
      <c r="M318" s="6"/>
      <c r="N318" s="6"/>
      <c r="O318" s="6"/>
      <c r="P318" s="6"/>
      <c r="Q318" s="6"/>
      <c r="R318" s="6"/>
      <c r="S318" s="6"/>
      <c r="T318" s="6"/>
      <c r="U318" s="6"/>
      <c r="V318" s="6"/>
      <c r="W318" s="6"/>
      <c r="X318" s="6"/>
      <c r="Y318" s="6"/>
      <c r="Z318" s="6"/>
      <c r="AA318" s="6"/>
      <c r="AB318" s="6"/>
    </row>
    <row r="319" ht="16.5" customHeight="1">
      <c r="A319" s="6"/>
      <c r="B319" s="6"/>
      <c r="C319" s="6"/>
      <c r="D319" s="6"/>
      <c r="E319" s="6"/>
      <c r="F319" s="6"/>
      <c r="G319" s="6"/>
      <c r="H319" s="93"/>
      <c r="I319" s="93"/>
      <c r="J319" s="93"/>
      <c r="K319" s="93"/>
      <c r="L319" s="93"/>
      <c r="M319" s="6"/>
      <c r="N319" s="6"/>
      <c r="O319" s="6"/>
      <c r="P319" s="6"/>
      <c r="Q319" s="6"/>
      <c r="R319" s="6"/>
      <c r="S319" s="6"/>
      <c r="T319" s="6"/>
      <c r="U319" s="6"/>
      <c r="V319" s="6"/>
      <c r="W319" s="6"/>
      <c r="X319" s="6"/>
      <c r="Y319" s="6"/>
      <c r="Z319" s="6"/>
      <c r="AA319" s="6"/>
      <c r="AB319" s="6"/>
    </row>
    <row r="320" ht="16.5" customHeight="1">
      <c r="A320" s="6"/>
      <c r="B320" s="6"/>
      <c r="C320" s="6"/>
      <c r="D320" s="6"/>
      <c r="E320" s="6"/>
      <c r="F320" s="6"/>
      <c r="G320" s="6"/>
      <c r="H320" s="93"/>
      <c r="I320" s="93"/>
      <c r="J320" s="93"/>
      <c r="K320" s="93"/>
      <c r="L320" s="93"/>
      <c r="M320" s="6"/>
      <c r="N320" s="6"/>
      <c r="O320" s="6"/>
      <c r="P320" s="6"/>
      <c r="Q320" s="6"/>
      <c r="R320" s="6"/>
      <c r="S320" s="6"/>
      <c r="T320" s="6"/>
      <c r="U320" s="6"/>
      <c r="V320" s="6"/>
      <c r="W320" s="6"/>
      <c r="X320" s="6"/>
      <c r="Y320" s="6"/>
      <c r="Z320" s="6"/>
      <c r="AA320" s="6"/>
      <c r="AB320" s="6"/>
    </row>
    <row r="321" ht="16.5" customHeight="1">
      <c r="A321" s="6"/>
      <c r="B321" s="6"/>
      <c r="C321" s="6"/>
      <c r="D321" s="6"/>
      <c r="E321" s="6"/>
      <c r="F321" s="6"/>
      <c r="G321" s="6"/>
      <c r="H321" s="93"/>
      <c r="I321" s="93"/>
      <c r="J321" s="93"/>
      <c r="K321" s="93"/>
      <c r="L321" s="93"/>
      <c r="M321" s="6"/>
      <c r="N321" s="6"/>
      <c r="O321" s="6"/>
      <c r="P321" s="6"/>
      <c r="Q321" s="6"/>
      <c r="R321" s="6"/>
      <c r="S321" s="6"/>
      <c r="T321" s="6"/>
      <c r="U321" s="6"/>
      <c r="V321" s="6"/>
      <c r="W321" s="6"/>
      <c r="X321" s="6"/>
      <c r="Y321" s="6"/>
      <c r="Z321" s="6"/>
      <c r="AA321" s="6"/>
      <c r="AB321" s="6"/>
    </row>
    <row r="322" ht="16.5" customHeight="1">
      <c r="A322" s="6"/>
      <c r="B322" s="6"/>
      <c r="C322" s="6"/>
      <c r="D322" s="6"/>
      <c r="E322" s="6"/>
      <c r="F322" s="6"/>
      <c r="G322" s="6"/>
      <c r="H322" s="93"/>
      <c r="I322" s="93"/>
      <c r="J322" s="93"/>
      <c r="K322" s="93"/>
      <c r="L322" s="93"/>
      <c r="M322" s="6"/>
      <c r="N322" s="6"/>
      <c r="O322" s="6"/>
      <c r="P322" s="6"/>
      <c r="Q322" s="6"/>
      <c r="R322" s="6"/>
      <c r="S322" s="6"/>
      <c r="T322" s="6"/>
      <c r="U322" s="6"/>
      <c r="V322" s="6"/>
      <c r="W322" s="6"/>
      <c r="X322" s="6"/>
      <c r="Y322" s="6"/>
      <c r="Z322" s="6"/>
      <c r="AA322" s="6"/>
      <c r="AB322" s="6"/>
    </row>
    <row r="323" ht="16.5" customHeight="1">
      <c r="A323" s="6"/>
      <c r="B323" s="6"/>
      <c r="C323" s="6"/>
      <c r="D323" s="6"/>
      <c r="E323" s="6"/>
      <c r="F323" s="6"/>
      <c r="G323" s="6"/>
      <c r="H323" s="93"/>
      <c r="I323" s="93"/>
      <c r="J323" s="93"/>
      <c r="K323" s="93"/>
      <c r="L323" s="93"/>
      <c r="M323" s="6"/>
      <c r="N323" s="6"/>
      <c r="O323" s="6"/>
      <c r="P323" s="6"/>
      <c r="Q323" s="6"/>
      <c r="R323" s="6"/>
      <c r="S323" s="6"/>
      <c r="T323" s="6"/>
      <c r="U323" s="6"/>
      <c r="V323" s="6"/>
      <c r="W323" s="6"/>
      <c r="X323" s="6"/>
      <c r="Y323" s="6"/>
      <c r="Z323" s="6"/>
      <c r="AA323" s="6"/>
      <c r="AB323" s="6"/>
    </row>
    <row r="324" ht="16.5" customHeight="1">
      <c r="A324" s="6"/>
      <c r="B324" s="6"/>
      <c r="C324" s="6"/>
      <c r="D324" s="6"/>
      <c r="E324" s="6"/>
      <c r="F324" s="6"/>
      <c r="G324" s="6"/>
      <c r="H324" s="93"/>
      <c r="I324" s="93"/>
      <c r="J324" s="93"/>
      <c r="K324" s="93"/>
      <c r="L324" s="93"/>
      <c r="M324" s="6"/>
      <c r="N324" s="6"/>
      <c r="O324" s="6"/>
      <c r="P324" s="6"/>
      <c r="Q324" s="6"/>
      <c r="R324" s="6"/>
      <c r="S324" s="6"/>
      <c r="T324" s="6"/>
      <c r="U324" s="6"/>
      <c r="V324" s="6"/>
      <c r="W324" s="6"/>
      <c r="X324" s="6"/>
      <c r="Y324" s="6"/>
      <c r="Z324" s="6"/>
      <c r="AA324" s="6"/>
      <c r="AB324" s="6"/>
    </row>
    <row r="325" ht="16.5" customHeight="1">
      <c r="A325" s="6"/>
      <c r="B325" s="6"/>
      <c r="C325" s="6"/>
      <c r="D325" s="6"/>
      <c r="E325" s="6"/>
      <c r="F325" s="6"/>
      <c r="G325" s="6"/>
      <c r="H325" s="93"/>
      <c r="I325" s="93"/>
      <c r="J325" s="93"/>
      <c r="K325" s="93"/>
      <c r="L325" s="93"/>
      <c r="M325" s="6"/>
      <c r="N325" s="6"/>
      <c r="O325" s="6"/>
      <c r="P325" s="6"/>
      <c r="Q325" s="6"/>
      <c r="R325" s="6"/>
      <c r="S325" s="6"/>
      <c r="T325" s="6"/>
      <c r="U325" s="6"/>
      <c r="V325" s="6"/>
      <c r="W325" s="6"/>
      <c r="X325" s="6"/>
      <c r="Y325" s="6"/>
      <c r="Z325" s="6"/>
      <c r="AA325" s="6"/>
      <c r="AB325" s="6"/>
    </row>
    <row r="326" ht="16.5" customHeight="1">
      <c r="A326" s="6"/>
      <c r="B326" s="6"/>
      <c r="C326" s="6"/>
      <c r="D326" s="6"/>
      <c r="E326" s="6"/>
      <c r="F326" s="6"/>
      <c r="G326" s="6"/>
      <c r="H326" s="93"/>
      <c r="I326" s="93"/>
      <c r="J326" s="93"/>
      <c r="K326" s="93"/>
      <c r="L326" s="93"/>
      <c r="M326" s="6"/>
      <c r="N326" s="6"/>
      <c r="O326" s="6"/>
      <c r="P326" s="6"/>
      <c r="Q326" s="6"/>
      <c r="R326" s="6"/>
      <c r="S326" s="6"/>
      <c r="T326" s="6"/>
      <c r="U326" s="6"/>
      <c r="V326" s="6"/>
      <c r="W326" s="6"/>
      <c r="X326" s="6"/>
      <c r="Y326" s="6"/>
      <c r="Z326" s="6"/>
      <c r="AA326" s="6"/>
      <c r="AB326" s="6"/>
    </row>
    <row r="327" ht="16.5" customHeight="1">
      <c r="A327" s="6"/>
      <c r="B327" s="6"/>
      <c r="C327" s="6"/>
      <c r="D327" s="6"/>
      <c r="E327" s="6"/>
      <c r="F327" s="6"/>
      <c r="G327" s="6"/>
      <c r="H327" s="93"/>
      <c r="I327" s="93"/>
      <c r="J327" s="93"/>
      <c r="K327" s="93"/>
      <c r="L327" s="93"/>
      <c r="M327" s="6"/>
      <c r="N327" s="6"/>
      <c r="O327" s="6"/>
      <c r="P327" s="6"/>
      <c r="Q327" s="6"/>
      <c r="R327" s="6"/>
      <c r="S327" s="6"/>
      <c r="T327" s="6"/>
      <c r="U327" s="6"/>
      <c r="V327" s="6"/>
      <c r="W327" s="6"/>
      <c r="X327" s="6"/>
      <c r="Y327" s="6"/>
      <c r="Z327" s="6"/>
      <c r="AA327" s="6"/>
      <c r="AB327" s="6"/>
    </row>
    <row r="328" ht="16.5" customHeight="1">
      <c r="A328" s="6"/>
      <c r="B328" s="6"/>
      <c r="C328" s="6"/>
      <c r="D328" s="6"/>
      <c r="E328" s="6"/>
      <c r="F328" s="6"/>
      <c r="G328" s="6"/>
      <c r="H328" s="93"/>
      <c r="I328" s="93"/>
      <c r="J328" s="93"/>
      <c r="K328" s="93"/>
      <c r="L328" s="93"/>
      <c r="M328" s="6"/>
      <c r="N328" s="6"/>
      <c r="O328" s="6"/>
      <c r="P328" s="6"/>
      <c r="Q328" s="6"/>
      <c r="R328" s="6"/>
      <c r="S328" s="6"/>
      <c r="T328" s="6"/>
      <c r="U328" s="6"/>
      <c r="V328" s="6"/>
      <c r="W328" s="6"/>
      <c r="X328" s="6"/>
      <c r="Y328" s="6"/>
      <c r="Z328" s="6"/>
      <c r="AA328" s="6"/>
      <c r="AB328" s="6"/>
    </row>
    <row r="329" ht="16.5" customHeight="1">
      <c r="A329" s="6"/>
      <c r="B329" s="6"/>
      <c r="C329" s="6"/>
      <c r="D329" s="6"/>
      <c r="E329" s="6"/>
      <c r="F329" s="6"/>
      <c r="G329" s="6"/>
      <c r="H329" s="93"/>
      <c r="I329" s="93"/>
      <c r="J329" s="93"/>
      <c r="K329" s="93"/>
      <c r="L329" s="93"/>
      <c r="M329" s="6"/>
      <c r="N329" s="6"/>
      <c r="O329" s="6"/>
      <c r="P329" s="6"/>
      <c r="Q329" s="6"/>
      <c r="R329" s="6"/>
      <c r="S329" s="6"/>
      <c r="T329" s="6"/>
      <c r="U329" s="6"/>
      <c r="V329" s="6"/>
      <c r="W329" s="6"/>
      <c r="X329" s="6"/>
      <c r="Y329" s="6"/>
      <c r="Z329" s="6"/>
      <c r="AA329" s="6"/>
      <c r="AB329" s="6"/>
    </row>
    <row r="330" ht="16.5" customHeight="1">
      <c r="A330" s="6"/>
      <c r="B330" s="6"/>
      <c r="C330" s="6"/>
      <c r="D330" s="6"/>
      <c r="E330" s="6"/>
      <c r="F330" s="6"/>
      <c r="G330" s="6"/>
      <c r="H330" s="93"/>
      <c r="I330" s="93"/>
      <c r="J330" s="93"/>
      <c r="K330" s="93"/>
      <c r="L330" s="93"/>
      <c r="M330" s="6"/>
      <c r="N330" s="6"/>
      <c r="O330" s="6"/>
      <c r="P330" s="6"/>
      <c r="Q330" s="6"/>
      <c r="R330" s="6"/>
      <c r="S330" s="6"/>
      <c r="T330" s="6"/>
      <c r="U330" s="6"/>
      <c r="V330" s="6"/>
      <c r="W330" s="6"/>
      <c r="X330" s="6"/>
      <c r="Y330" s="6"/>
      <c r="Z330" s="6"/>
      <c r="AA330" s="6"/>
      <c r="AB330" s="6"/>
    </row>
    <row r="331" ht="16.5" customHeight="1">
      <c r="A331" s="6"/>
      <c r="B331" s="6"/>
      <c r="C331" s="6"/>
      <c r="D331" s="6"/>
      <c r="E331" s="6"/>
      <c r="F331" s="6"/>
      <c r="G331" s="6"/>
      <c r="H331" s="93"/>
      <c r="I331" s="93"/>
      <c r="J331" s="93"/>
      <c r="K331" s="93"/>
      <c r="L331" s="93"/>
      <c r="M331" s="6"/>
      <c r="N331" s="6"/>
      <c r="O331" s="6"/>
      <c r="P331" s="6"/>
      <c r="Q331" s="6"/>
      <c r="R331" s="6"/>
      <c r="S331" s="6"/>
      <c r="T331" s="6"/>
      <c r="U331" s="6"/>
      <c r="V331" s="6"/>
      <c r="W331" s="6"/>
      <c r="X331" s="6"/>
      <c r="Y331" s="6"/>
      <c r="Z331" s="6"/>
      <c r="AA331" s="6"/>
      <c r="AB331" s="6"/>
    </row>
    <row r="332" ht="16.5" customHeight="1">
      <c r="A332" s="6"/>
      <c r="B332" s="6"/>
      <c r="C332" s="6"/>
      <c r="D332" s="6"/>
      <c r="E332" s="6"/>
      <c r="F332" s="6"/>
      <c r="G332" s="6"/>
      <c r="H332" s="93"/>
      <c r="I332" s="93"/>
      <c r="J332" s="93"/>
      <c r="K332" s="93"/>
      <c r="L332" s="93"/>
      <c r="M332" s="6"/>
      <c r="N332" s="6"/>
      <c r="O332" s="6"/>
      <c r="P332" s="6"/>
      <c r="Q332" s="6"/>
      <c r="R332" s="6"/>
      <c r="S332" s="6"/>
      <c r="T332" s="6"/>
      <c r="U332" s="6"/>
      <c r="V332" s="6"/>
      <c r="W332" s="6"/>
      <c r="X332" s="6"/>
      <c r="Y332" s="6"/>
      <c r="Z332" s="6"/>
      <c r="AA332" s="6"/>
      <c r="AB332" s="6"/>
    </row>
    <row r="333" ht="16.5" customHeight="1">
      <c r="A333" s="6"/>
      <c r="B333" s="6"/>
      <c r="C333" s="6"/>
      <c r="D333" s="6"/>
      <c r="E333" s="6"/>
      <c r="F333" s="6"/>
      <c r="G333" s="6"/>
      <c r="H333" s="93"/>
      <c r="I333" s="93"/>
      <c r="J333" s="93"/>
      <c r="K333" s="93"/>
      <c r="L333" s="93"/>
      <c r="M333" s="6"/>
      <c r="N333" s="6"/>
      <c r="O333" s="6"/>
      <c r="P333" s="6"/>
      <c r="Q333" s="6"/>
      <c r="R333" s="6"/>
      <c r="S333" s="6"/>
      <c r="T333" s="6"/>
      <c r="U333" s="6"/>
      <c r="V333" s="6"/>
      <c r="W333" s="6"/>
      <c r="X333" s="6"/>
      <c r="Y333" s="6"/>
      <c r="Z333" s="6"/>
      <c r="AA333" s="6"/>
      <c r="AB333" s="6"/>
    </row>
    <row r="334" ht="16.5" customHeight="1">
      <c r="A334" s="6"/>
      <c r="B334" s="6"/>
      <c r="C334" s="6"/>
      <c r="D334" s="6"/>
      <c r="E334" s="6"/>
      <c r="F334" s="6"/>
      <c r="G334" s="6"/>
      <c r="H334" s="93"/>
      <c r="I334" s="93"/>
      <c r="J334" s="93"/>
      <c r="K334" s="93"/>
      <c r="L334" s="93"/>
      <c r="M334" s="6"/>
      <c r="N334" s="6"/>
      <c r="O334" s="6"/>
      <c r="P334" s="6"/>
      <c r="Q334" s="6"/>
      <c r="R334" s="6"/>
      <c r="S334" s="6"/>
      <c r="T334" s="6"/>
      <c r="U334" s="6"/>
      <c r="V334" s="6"/>
      <c r="W334" s="6"/>
      <c r="X334" s="6"/>
      <c r="Y334" s="6"/>
      <c r="Z334" s="6"/>
      <c r="AA334" s="6"/>
      <c r="AB334" s="6"/>
    </row>
    <row r="335" ht="16.5" customHeight="1">
      <c r="A335" s="6"/>
      <c r="B335" s="6"/>
      <c r="C335" s="6"/>
      <c r="D335" s="6"/>
      <c r="E335" s="6"/>
      <c r="F335" s="6"/>
      <c r="G335" s="6"/>
      <c r="H335" s="93"/>
      <c r="I335" s="93"/>
      <c r="J335" s="93"/>
      <c r="K335" s="93"/>
      <c r="L335" s="93"/>
      <c r="M335" s="6"/>
      <c r="N335" s="6"/>
      <c r="O335" s="6"/>
      <c r="P335" s="6"/>
      <c r="Q335" s="6"/>
      <c r="R335" s="6"/>
      <c r="S335" s="6"/>
      <c r="T335" s="6"/>
      <c r="U335" s="6"/>
      <c r="V335" s="6"/>
      <c r="W335" s="6"/>
      <c r="X335" s="6"/>
      <c r="Y335" s="6"/>
      <c r="Z335" s="6"/>
      <c r="AA335" s="6"/>
      <c r="AB335" s="6"/>
    </row>
    <row r="336" ht="16.5" customHeight="1">
      <c r="A336" s="6"/>
      <c r="B336" s="6"/>
      <c r="C336" s="6"/>
      <c r="D336" s="6"/>
      <c r="E336" s="6"/>
      <c r="F336" s="6"/>
      <c r="G336" s="6"/>
      <c r="H336" s="93"/>
      <c r="I336" s="93"/>
      <c r="J336" s="93"/>
      <c r="K336" s="93"/>
      <c r="L336" s="93"/>
      <c r="M336" s="6"/>
      <c r="N336" s="6"/>
      <c r="O336" s="6"/>
      <c r="P336" s="6"/>
      <c r="Q336" s="6"/>
      <c r="R336" s="6"/>
      <c r="S336" s="6"/>
      <c r="T336" s="6"/>
      <c r="U336" s="6"/>
      <c r="V336" s="6"/>
      <c r="W336" s="6"/>
      <c r="X336" s="6"/>
      <c r="Y336" s="6"/>
      <c r="Z336" s="6"/>
      <c r="AA336" s="6"/>
      <c r="AB336" s="6"/>
    </row>
    <row r="337" ht="16.5" customHeight="1">
      <c r="A337" s="6"/>
      <c r="B337" s="6"/>
      <c r="C337" s="6"/>
      <c r="D337" s="6"/>
      <c r="E337" s="6"/>
      <c r="F337" s="6"/>
      <c r="G337" s="6"/>
      <c r="H337" s="93"/>
      <c r="I337" s="93"/>
      <c r="J337" s="93"/>
      <c r="K337" s="93"/>
      <c r="L337" s="93"/>
      <c r="M337" s="6"/>
      <c r="N337" s="6"/>
      <c r="O337" s="6"/>
      <c r="P337" s="6"/>
      <c r="Q337" s="6"/>
      <c r="R337" s="6"/>
      <c r="S337" s="6"/>
      <c r="T337" s="6"/>
      <c r="U337" s="6"/>
      <c r="V337" s="6"/>
      <c r="W337" s="6"/>
      <c r="X337" s="6"/>
      <c r="Y337" s="6"/>
      <c r="Z337" s="6"/>
      <c r="AA337" s="6"/>
      <c r="AB337" s="6"/>
    </row>
    <row r="338" ht="16.5" customHeight="1">
      <c r="A338" s="6"/>
      <c r="B338" s="6"/>
      <c r="C338" s="6"/>
      <c r="D338" s="6"/>
      <c r="E338" s="6"/>
      <c r="F338" s="6"/>
      <c r="G338" s="6"/>
      <c r="H338" s="93"/>
      <c r="I338" s="93"/>
      <c r="J338" s="93"/>
      <c r="K338" s="93"/>
      <c r="L338" s="93"/>
      <c r="M338" s="6"/>
      <c r="N338" s="6"/>
      <c r="O338" s="6"/>
      <c r="P338" s="6"/>
      <c r="Q338" s="6"/>
      <c r="R338" s="6"/>
      <c r="S338" s="6"/>
      <c r="T338" s="6"/>
      <c r="U338" s="6"/>
      <c r="V338" s="6"/>
      <c r="W338" s="6"/>
      <c r="X338" s="6"/>
      <c r="Y338" s="6"/>
      <c r="Z338" s="6"/>
      <c r="AA338" s="6"/>
      <c r="AB338" s="6"/>
    </row>
    <row r="339" ht="16.5" customHeight="1">
      <c r="A339" s="6"/>
      <c r="B339" s="6"/>
      <c r="C339" s="6"/>
      <c r="D339" s="6"/>
      <c r="E339" s="6"/>
      <c r="F339" s="6"/>
      <c r="G339" s="6"/>
      <c r="H339" s="93"/>
      <c r="I339" s="93"/>
      <c r="J339" s="93"/>
      <c r="K339" s="93"/>
      <c r="L339" s="93"/>
      <c r="M339" s="6"/>
      <c r="N339" s="6"/>
      <c r="O339" s="6"/>
      <c r="P339" s="6"/>
      <c r="Q339" s="6"/>
      <c r="R339" s="6"/>
      <c r="S339" s="6"/>
      <c r="T339" s="6"/>
      <c r="U339" s="6"/>
      <c r="V339" s="6"/>
      <c r="W339" s="6"/>
      <c r="X339" s="6"/>
      <c r="Y339" s="6"/>
      <c r="Z339" s="6"/>
      <c r="AA339" s="6"/>
      <c r="AB339" s="6"/>
    </row>
    <row r="340" ht="16.5" customHeight="1">
      <c r="A340" s="6"/>
      <c r="B340" s="6"/>
      <c r="C340" s="6"/>
      <c r="D340" s="6"/>
      <c r="E340" s="6"/>
      <c r="F340" s="6"/>
      <c r="G340" s="6"/>
      <c r="H340" s="93"/>
      <c r="I340" s="93"/>
      <c r="J340" s="93"/>
      <c r="K340" s="93"/>
      <c r="L340" s="93"/>
      <c r="M340" s="6"/>
      <c r="N340" s="6"/>
      <c r="O340" s="6"/>
      <c r="P340" s="6"/>
      <c r="Q340" s="6"/>
      <c r="R340" s="6"/>
      <c r="S340" s="6"/>
      <c r="T340" s="6"/>
      <c r="U340" s="6"/>
      <c r="V340" s="6"/>
      <c r="W340" s="6"/>
      <c r="X340" s="6"/>
      <c r="Y340" s="6"/>
      <c r="Z340" s="6"/>
      <c r="AA340" s="6"/>
      <c r="AB340" s="6"/>
    </row>
    <row r="341" ht="16.5" customHeight="1">
      <c r="A341" s="6"/>
      <c r="B341" s="6"/>
      <c r="C341" s="6"/>
      <c r="D341" s="6"/>
      <c r="E341" s="6"/>
      <c r="F341" s="6"/>
      <c r="G341" s="6"/>
      <c r="H341" s="93"/>
      <c r="I341" s="93"/>
      <c r="J341" s="93"/>
      <c r="K341" s="93"/>
      <c r="L341" s="93"/>
      <c r="M341" s="6"/>
      <c r="N341" s="6"/>
      <c r="O341" s="6"/>
      <c r="P341" s="6"/>
      <c r="Q341" s="6"/>
      <c r="R341" s="6"/>
      <c r="S341" s="6"/>
      <c r="T341" s="6"/>
      <c r="U341" s="6"/>
      <c r="V341" s="6"/>
      <c r="W341" s="6"/>
      <c r="X341" s="6"/>
      <c r="Y341" s="6"/>
      <c r="Z341" s="6"/>
      <c r="AA341" s="6"/>
      <c r="AB341" s="6"/>
    </row>
    <row r="342" ht="16.5" customHeight="1">
      <c r="A342" s="6"/>
      <c r="B342" s="6"/>
      <c r="C342" s="6"/>
      <c r="D342" s="6"/>
      <c r="E342" s="6"/>
      <c r="F342" s="6"/>
      <c r="G342" s="6"/>
      <c r="H342" s="93"/>
      <c r="I342" s="93"/>
      <c r="J342" s="93"/>
      <c r="K342" s="93"/>
      <c r="L342" s="93"/>
      <c r="M342" s="6"/>
      <c r="N342" s="6"/>
      <c r="O342" s="6"/>
      <c r="P342" s="6"/>
      <c r="Q342" s="6"/>
      <c r="R342" s="6"/>
      <c r="S342" s="6"/>
      <c r="T342" s="6"/>
      <c r="U342" s="6"/>
      <c r="V342" s="6"/>
      <c r="W342" s="6"/>
      <c r="X342" s="6"/>
      <c r="Y342" s="6"/>
      <c r="Z342" s="6"/>
      <c r="AA342" s="6"/>
      <c r="AB342" s="6"/>
    </row>
    <row r="343" ht="16.5" customHeight="1">
      <c r="A343" s="6"/>
      <c r="B343" s="6"/>
      <c r="C343" s="6"/>
      <c r="D343" s="6"/>
      <c r="E343" s="6"/>
      <c r="F343" s="6"/>
      <c r="G343" s="6"/>
      <c r="H343" s="93"/>
      <c r="I343" s="93"/>
      <c r="J343" s="93"/>
      <c r="K343" s="93"/>
      <c r="L343" s="93"/>
      <c r="M343" s="6"/>
      <c r="N343" s="6"/>
      <c r="O343" s="6"/>
      <c r="P343" s="6"/>
      <c r="Q343" s="6"/>
      <c r="R343" s="6"/>
      <c r="S343" s="6"/>
      <c r="T343" s="6"/>
      <c r="U343" s="6"/>
      <c r="V343" s="6"/>
      <c r="W343" s="6"/>
      <c r="X343" s="6"/>
      <c r="Y343" s="6"/>
      <c r="Z343" s="6"/>
      <c r="AA343" s="6"/>
      <c r="AB343" s="6"/>
    </row>
    <row r="344" ht="16.5" customHeight="1">
      <c r="A344" s="6"/>
      <c r="B344" s="6"/>
      <c r="C344" s="6"/>
      <c r="D344" s="6"/>
      <c r="E344" s="6"/>
      <c r="F344" s="6"/>
      <c r="G344" s="6"/>
      <c r="H344" s="93"/>
      <c r="I344" s="93"/>
      <c r="J344" s="93"/>
      <c r="K344" s="93"/>
      <c r="L344" s="93"/>
      <c r="M344" s="6"/>
      <c r="N344" s="6"/>
      <c r="O344" s="6"/>
      <c r="P344" s="6"/>
      <c r="Q344" s="6"/>
      <c r="R344" s="6"/>
      <c r="S344" s="6"/>
      <c r="T344" s="6"/>
      <c r="U344" s="6"/>
      <c r="V344" s="6"/>
      <c r="W344" s="6"/>
      <c r="X344" s="6"/>
      <c r="Y344" s="6"/>
      <c r="Z344" s="6"/>
      <c r="AA344" s="6"/>
      <c r="AB344" s="6"/>
    </row>
    <row r="345" ht="16.5" customHeight="1">
      <c r="A345" s="6"/>
      <c r="B345" s="6"/>
      <c r="C345" s="6"/>
      <c r="D345" s="6"/>
      <c r="E345" s="6"/>
      <c r="F345" s="6"/>
      <c r="G345" s="6"/>
      <c r="H345" s="93"/>
      <c r="I345" s="93"/>
      <c r="J345" s="93"/>
      <c r="K345" s="93"/>
      <c r="L345" s="93"/>
      <c r="M345" s="6"/>
      <c r="N345" s="6"/>
      <c r="O345" s="6"/>
      <c r="P345" s="6"/>
      <c r="Q345" s="6"/>
      <c r="R345" s="6"/>
      <c r="S345" s="6"/>
      <c r="T345" s="6"/>
      <c r="U345" s="6"/>
      <c r="V345" s="6"/>
      <c r="W345" s="6"/>
      <c r="X345" s="6"/>
      <c r="Y345" s="6"/>
      <c r="Z345" s="6"/>
      <c r="AA345" s="6"/>
      <c r="AB345" s="6"/>
    </row>
    <row r="346" ht="16.5" customHeight="1">
      <c r="A346" s="6"/>
      <c r="B346" s="6"/>
      <c r="C346" s="6"/>
      <c r="D346" s="6"/>
      <c r="E346" s="6"/>
      <c r="F346" s="6"/>
      <c r="G346" s="6"/>
      <c r="H346" s="93"/>
      <c r="I346" s="93"/>
      <c r="J346" s="93"/>
      <c r="K346" s="93"/>
      <c r="L346" s="93"/>
      <c r="M346" s="6"/>
      <c r="N346" s="6"/>
      <c r="O346" s="6"/>
      <c r="P346" s="6"/>
      <c r="Q346" s="6"/>
      <c r="R346" s="6"/>
      <c r="S346" s="6"/>
      <c r="T346" s="6"/>
      <c r="U346" s="6"/>
      <c r="V346" s="6"/>
      <c r="W346" s="6"/>
      <c r="X346" s="6"/>
      <c r="Y346" s="6"/>
      <c r="Z346" s="6"/>
      <c r="AA346" s="6"/>
      <c r="AB346" s="6"/>
    </row>
    <row r="347" ht="16.5" customHeight="1">
      <c r="A347" s="6"/>
      <c r="B347" s="6"/>
      <c r="C347" s="6"/>
      <c r="D347" s="6"/>
      <c r="E347" s="6"/>
      <c r="F347" s="6"/>
      <c r="G347" s="6"/>
      <c r="H347" s="93"/>
      <c r="I347" s="93"/>
      <c r="J347" s="93"/>
      <c r="K347" s="93"/>
      <c r="L347" s="93"/>
      <c r="M347" s="6"/>
      <c r="N347" s="6"/>
      <c r="O347" s="6"/>
      <c r="P347" s="6"/>
      <c r="Q347" s="6"/>
      <c r="R347" s="6"/>
      <c r="S347" s="6"/>
      <c r="T347" s="6"/>
      <c r="U347" s="6"/>
      <c r="V347" s="6"/>
      <c r="W347" s="6"/>
      <c r="X347" s="6"/>
      <c r="Y347" s="6"/>
      <c r="Z347" s="6"/>
      <c r="AA347" s="6"/>
      <c r="AB347" s="6"/>
    </row>
    <row r="348" ht="16.5" customHeight="1">
      <c r="A348" s="6"/>
      <c r="B348" s="6"/>
      <c r="C348" s="6"/>
      <c r="D348" s="6"/>
      <c r="E348" s="6"/>
      <c r="F348" s="6"/>
      <c r="G348" s="6"/>
      <c r="H348" s="93"/>
      <c r="I348" s="93"/>
      <c r="J348" s="93"/>
      <c r="K348" s="93"/>
      <c r="L348" s="93"/>
      <c r="M348" s="6"/>
      <c r="N348" s="6"/>
      <c r="O348" s="6"/>
      <c r="P348" s="6"/>
      <c r="Q348" s="6"/>
      <c r="R348" s="6"/>
      <c r="S348" s="6"/>
      <c r="T348" s="6"/>
      <c r="U348" s="6"/>
      <c r="V348" s="6"/>
      <c r="W348" s="6"/>
      <c r="X348" s="6"/>
      <c r="Y348" s="6"/>
      <c r="Z348" s="6"/>
      <c r="AA348" s="6"/>
      <c r="AB348" s="6"/>
    </row>
    <row r="349" ht="16.5" customHeight="1">
      <c r="A349" s="6"/>
      <c r="B349" s="6"/>
      <c r="C349" s="6"/>
      <c r="D349" s="6"/>
      <c r="E349" s="6"/>
      <c r="F349" s="6"/>
      <c r="G349" s="6"/>
      <c r="H349" s="93"/>
      <c r="I349" s="93"/>
      <c r="J349" s="93"/>
      <c r="K349" s="93"/>
      <c r="L349" s="93"/>
      <c r="M349" s="6"/>
      <c r="N349" s="6"/>
      <c r="O349" s="6"/>
      <c r="P349" s="6"/>
      <c r="Q349" s="6"/>
      <c r="R349" s="6"/>
      <c r="S349" s="6"/>
      <c r="T349" s="6"/>
      <c r="U349" s="6"/>
      <c r="V349" s="6"/>
      <c r="W349" s="6"/>
      <c r="X349" s="6"/>
      <c r="Y349" s="6"/>
      <c r="Z349" s="6"/>
      <c r="AA349" s="6"/>
      <c r="AB349" s="6"/>
    </row>
    <row r="350" ht="16.5" customHeight="1">
      <c r="A350" s="6"/>
      <c r="B350" s="6"/>
      <c r="C350" s="6"/>
      <c r="D350" s="6"/>
      <c r="E350" s="6"/>
      <c r="F350" s="6"/>
      <c r="G350" s="6"/>
      <c r="H350" s="93"/>
      <c r="I350" s="93"/>
      <c r="J350" s="93"/>
      <c r="K350" s="93"/>
      <c r="L350" s="93"/>
      <c r="M350" s="6"/>
      <c r="N350" s="6"/>
      <c r="O350" s="6"/>
      <c r="P350" s="6"/>
      <c r="Q350" s="6"/>
      <c r="R350" s="6"/>
      <c r="S350" s="6"/>
      <c r="T350" s="6"/>
      <c r="U350" s="6"/>
      <c r="V350" s="6"/>
      <c r="W350" s="6"/>
      <c r="X350" s="6"/>
      <c r="Y350" s="6"/>
      <c r="Z350" s="6"/>
      <c r="AA350" s="6"/>
      <c r="AB350" s="6"/>
    </row>
    <row r="351" ht="16.5" customHeight="1">
      <c r="A351" s="6"/>
      <c r="B351" s="6"/>
      <c r="C351" s="6"/>
      <c r="D351" s="6"/>
      <c r="E351" s="6"/>
      <c r="F351" s="6"/>
      <c r="G351" s="6"/>
      <c r="H351" s="93"/>
      <c r="I351" s="93"/>
      <c r="J351" s="93"/>
      <c r="K351" s="93"/>
      <c r="L351" s="93"/>
      <c r="M351" s="6"/>
      <c r="N351" s="6"/>
      <c r="O351" s="6"/>
      <c r="P351" s="6"/>
      <c r="Q351" s="6"/>
      <c r="R351" s="6"/>
      <c r="S351" s="6"/>
      <c r="T351" s="6"/>
      <c r="U351" s="6"/>
      <c r="V351" s="6"/>
      <c r="W351" s="6"/>
      <c r="X351" s="6"/>
      <c r="Y351" s="6"/>
      <c r="Z351" s="6"/>
      <c r="AA351" s="6"/>
      <c r="AB351" s="6"/>
    </row>
    <row r="352" ht="16.5" customHeight="1">
      <c r="A352" s="6"/>
      <c r="B352" s="6"/>
      <c r="C352" s="6"/>
      <c r="D352" s="6"/>
      <c r="E352" s="6"/>
      <c r="F352" s="6"/>
      <c r="G352" s="6"/>
      <c r="H352" s="93"/>
      <c r="I352" s="93"/>
      <c r="J352" s="93"/>
      <c r="K352" s="93"/>
      <c r="L352" s="93"/>
      <c r="M352" s="6"/>
      <c r="N352" s="6"/>
      <c r="O352" s="6"/>
      <c r="P352" s="6"/>
      <c r="Q352" s="6"/>
      <c r="R352" s="6"/>
      <c r="S352" s="6"/>
      <c r="T352" s="6"/>
      <c r="U352" s="6"/>
      <c r="V352" s="6"/>
      <c r="W352" s="6"/>
      <c r="X352" s="6"/>
      <c r="Y352" s="6"/>
      <c r="Z352" s="6"/>
      <c r="AA352" s="6"/>
      <c r="AB352" s="6"/>
    </row>
    <row r="353" ht="16.5" customHeight="1">
      <c r="A353" s="6"/>
      <c r="B353" s="6"/>
      <c r="C353" s="6"/>
      <c r="D353" s="6"/>
      <c r="E353" s="6"/>
      <c r="F353" s="6"/>
      <c r="G353" s="6"/>
      <c r="H353" s="93"/>
      <c r="I353" s="93"/>
      <c r="J353" s="93"/>
      <c r="K353" s="93"/>
      <c r="L353" s="93"/>
      <c r="M353" s="6"/>
      <c r="N353" s="6"/>
      <c r="O353" s="6"/>
      <c r="P353" s="6"/>
      <c r="Q353" s="6"/>
      <c r="R353" s="6"/>
      <c r="S353" s="6"/>
      <c r="T353" s="6"/>
      <c r="U353" s="6"/>
      <c r="V353" s="6"/>
      <c r="W353" s="6"/>
      <c r="X353" s="6"/>
      <c r="Y353" s="6"/>
      <c r="Z353" s="6"/>
      <c r="AA353" s="6"/>
      <c r="AB353" s="6"/>
    </row>
    <row r="354" ht="16.5" customHeight="1">
      <c r="A354" s="6"/>
      <c r="B354" s="6"/>
      <c r="C354" s="6"/>
      <c r="D354" s="6"/>
      <c r="E354" s="6"/>
      <c r="F354" s="6"/>
      <c r="G354" s="6"/>
      <c r="H354" s="93"/>
      <c r="I354" s="93"/>
      <c r="J354" s="93"/>
      <c r="K354" s="93"/>
      <c r="L354" s="93"/>
      <c r="M354" s="6"/>
      <c r="N354" s="6"/>
      <c r="O354" s="6"/>
      <c r="P354" s="6"/>
      <c r="Q354" s="6"/>
      <c r="R354" s="6"/>
      <c r="S354" s="6"/>
      <c r="T354" s="6"/>
      <c r="U354" s="6"/>
      <c r="V354" s="6"/>
      <c r="W354" s="6"/>
      <c r="X354" s="6"/>
      <c r="Y354" s="6"/>
      <c r="Z354" s="6"/>
      <c r="AA354" s="6"/>
      <c r="AB354" s="6"/>
    </row>
    <row r="355" ht="16.5" customHeight="1">
      <c r="A355" s="6"/>
      <c r="B355" s="6"/>
      <c r="C355" s="6"/>
      <c r="D355" s="6"/>
      <c r="E355" s="6"/>
      <c r="F355" s="6"/>
      <c r="G355" s="6"/>
      <c r="H355" s="93"/>
      <c r="I355" s="93"/>
      <c r="J355" s="93"/>
      <c r="K355" s="93"/>
      <c r="L355" s="93"/>
      <c r="M355" s="6"/>
      <c r="N355" s="6"/>
      <c r="O355" s="6"/>
      <c r="P355" s="6"/>
      <c r="Q355" s="6"/>
      <c r="R355" s="6"/>
      <c r="S355" s="6"/>
      <c r="T355" s="6"/>
      <c r="U355" s="6"/>
      <c r="V355" s="6"/>
      <c r="W355" s="6"/>
      <c r="X355" s="6"/>
      <c r="Y355" s="6"/>
      <c r="Z355" s="6"/>
      <c r="AA355" s="6"/>
      <c r="AB355" s="6"/>
    </row>
    <row r="356" ht="16.5" customHeight="1">
      <c r="A356" s="6"/>
      <c r="B356" s="6"/>
      <c r="C356" s="6"/>
      <c r="D356" s="6"/>
      <c r="E356" s="6"/>
      <c r="F356" s="6"/>
      <c r="G356" s="6"/>
      <c r="H356" s="93"/>
      <c r="I356" s="93"/>
      <c r="J356" s="93"/>
      <c r="K356" s="93"/>
      <c r="L356" s="93"/>
      <c r="M356" s="6"/>
      <c r="N356" s="6"/>
      <c r="O356" s="6"/>
      <c r="P356" s="6"/>
      <c r="Q356" s="6"/>
      <c r="R356" s="6"/>
      <c r="S356" s="6"/>
      <c r="T356" s="6"/>
      <c r="U356" s="6"/>
      <c r="V356" s="6"/>
      <c r="W356" s="6"/>
      <c r="X356" s="6"/>
      <c r="Y356" s="6"/>
      <c r="Z356" s="6"/>
      <c r="AA356" s="6"/>
      <c r="AB356" s="6"/>
    </row>
    <row r="357" ht="16.5" customHeight="1">
      <c r="A357" s="6"/>
      <c r="B357" s="6"/>
      <c r="C357" s="6"/>
      <c r="D357" s="6"/>
      <c r="E357" s="6"/>
      <c r="F357" s="6"/>
      <c r="G357" s="6"/>
      <c r="H357" s="93"/>
      <c r="I357" s="93"/>
      <c r="J357" s="93"/>
      <c r="K357" s="93"/>
      <c r="L357" s="93"/>
      <c r="M357" s="6"/>
      <c r="N357" s="6"/>
      <c r="O357" s="6"/>
      <c r="P357" s="6"/>
      <c r="Q357" s="6"/>
      <c r="R357" s="6"/>
      <c r="S357" s="6"/>
      <c r="T357" s="6"/>
      <c r="U357" s="6"/>
      <c r="V357" s="6"/>
      <c r="W357" s="6"/>
      <c r="X357" s="6"/>
      <c r="Y357" s="6"/>
      <c r="Z357" s="6"/>
      <c r="AA357" s="6"/>
      <c r="AB357" s="6"/>
    </row>
    <row r="358" ht="16.5" customHeight="1">
      <c r="A358" s="6"/>
      <c r="B358" s="6"/>
      <c r="C358" s="6"/>
      <c r="D358" s="6"/>
      <c r="E358" s="6"/>
      <c r="F358" s="6"/>
      <c r="G358" s="6"/>
      <c r="H358" s="93"/>
      <c r="I358" s="93"/>
      <c r="J358" s="93"/>
      <c r="K358" s="93"/>
      <c r="L358" s="93"/>
      <c r="M358" s="6"/>
      <c r="N358" s="6"/>
      <c r="O358" s="6"/>
      <c r="P358" s="6"/>
      <c r="Q358" s="6"/>
      <c r="R358" s="6"/>
      <c r="S358" s="6"/>
      <c r="T358" s="6"/>
      <c r="U358" s="6"/>
      <c r="V358" s="6"/>
      <c r="W358" s="6"/>
      <c r="X358" s="6"/>
      <c r="Y358" s="6"/>
      <c r="Z358" s="6"/>
      <c r="AA358" s="6"/>
      <c r="AB358" s="6"/>
    </row>
    <row r="359" ht="16.5" customHeight="1">
      <c r="A359" s="6"/>
      <c r="B359" s="6"/>
      <c r="C359" s="6"/>
      <c r="D359" s="6"/>
      <c r="E359" s="6"/>
      <c r="F359" s="6"/>
      <c r="G359" s="6"/>
      <c r="H359" s="93"/>
      <c r="I359" s="93"/>
      <c r="J359" s="93"/>
      <c r="K359" s="93"/>
      <c r="L359" s="93"/>
      <c r="M359" s="6"/>
      <c r="N359" s="6"/>
      <c r="O359" s="6"/>
      <c r="P359" s="6"/>
      <c r="Q359" s="6"/>
      <c r="R359" s="6"/>
      <c r="S359" s="6"/>
      <c r="T359" s="6"/>
      <c r="U359" s="6"/>
      <c r="V359" s="6"/>
      <c r="W359" s="6"/>
      <c r="X359" s="6"/>
      <c r="Y359" s="6"/>
      <c r="Z359" s="6"/>
      <c r="AA359" s="6"/>
      <c r="AB359" s="6"/>
    </row>
    <row r="360" ht="16.5" customHeight="1">
      <c r="A360" s="6"/>
      <c r="B360" s="6"/>
      <c r="C360" s="6"/>
      <c r="D360" s="6"/>
      <c r="E360" s="6"/>
      <c r="F360" s="6"/>
      <c r="G360" s="6"/>
      <c r="H360" s="93"/>
      <c r="I360" s="93"/>
      <c r="J360" s="93"/>
      <c r="K360" s="93"/>
      <c r="L360" s="93"/>
      <c r="M360" s="6"/>
      <c r="N360" s="6"/>
      <c r="O360" s="6"/>
      <c r="P360" s="6"/>
      <c r="Q360" s="6"/>
      <c r="R360" s="6"/>
      <c r="S360" s="6"/>
      <c r="T360" s="6"/>
      <c r="U360" s="6"/>
      <c r="V360" s="6"/>
      <c r="W360" s="6"/>
      <c r="X360" s="6"/>
      <c r="Y360" s="6"/>
      <c r="Z360" s="6"/>
      <c r="AA360" s="6"/>
      <c r="AB360" s="6"/>
    </row>
    <row r="361" ht="16.5" customHeight="1">
      <c r="A361" s="6"/>
      <c r="B361" s="6"/>
      <c r="C361" s="6"/>
      <c r="D361" s="6"/>
      <c r="E361" s="6"/>
      <c r="F361" s="6"/>
      <c r="G361" s="6"/>
      <c r="H361" s="93"/>
      <c r="I361" s="93"/>
      <c r="J361" s="93"/>
      <c r="K361" s="93"/>
      <c r="L361" s="93"/>
      <c r="M361" s="6"/>
      <c r="N361" s="6"/>
      <c r="O361" s="6"/>
      <c r="P361" s="6"/>
      <c r="Q361" s="6"/>
      <c r="R361" s="6"/>
      <c r="S361" s="6"/>
      <c r="T361" s="6"/>
      <c r="U361" s="6"/>
      <c r="V361" s="6"/>
      <c r="W361" s="6"/>
      <c r="X361" s="6"/>
      <c r="Y361" s="6"/>
      <c r="Z361" s="6"/>
      <c r="AA361" s="6"/>
      <c r="AB361" s="6"/>
    </row>
    <row r="362" ht="16.5" customHeight="1">
      <c r="A362" s="6"/>
      <c r="B362" s="6"/>
      <c r="C362" s="6"/>
      <c r="D362" s="6"/>
      <c r="E362" s="6"/>
      <c r="F362" s="6"/>
      <c r="G362" s="6"/>
      <c r="H362" s="93"/>
      <c r="I362" s="93"/>
      <c r="J362" s="93"/>
      <c r="K362" s="93"/>
      <c r="L362" s="93"/>
      <c r="M362" s="6"/>
      <c r="N362" s="6"/>
      <c r="O362" s="6"/>
      <c r="P362" s="6"/>
      <c r="Q362" s="6"/>
      <c r="R362" s="6"/>
      <c r="S362" s="6"/>
      <c r="T362" s="6"/>
      <c r="U362" s="6"/>
      <c r="V362" s="6"/>
      <c r="W362" s="6"/>
      <c r="X362" s="6"/>
      <c r="Y362" s="6"/>
      <c r="Z362" s="6"/>
      <c r="AA362" s="6"/>
      <c r="AB362" s="6"/>
    </row>
    <row r="363" ht="16.5" customHeight="1">
      <c r="A363" s="6"/>
      <c r="B363" s="6"/>
      <c r="C363" s="6"/>
      <c r="D363" s="6"/>
      <c r="E363" s="6"/>
      <c r="F363" s="6"/>
      <c r="G363" s="6"/>
      <c r="H363" s="93"/>
      <c r="I363" s="93"/>
      <c r="J363" s="93"/>
      <c r="K363" s="93"/>
      <c r="L363" s="93"/>
      <c r="M363" s="6"/>
      <c r="N363" s="6"/>
      <c r="O363" s="6"/>
      <c r="P363" s="6"/>
      <c r="Q363" s="6"/>
      <c r="R363" s="6"/>
      <c r="S363" s="6"/>
      <c r="T363" s="6"/>
      <c r="U363" s="6"/>
      <c r="V363" s="6"/>
      <c r="W363" s="6"/>
      <c r="X363" s="6"/>
      <c r="Y363" s="6"/>
      <c r="Z363" s="6"/>
      <c r="AA363" s="6"/>
      <c r="AB363" s="6"/>
    </row>
    <row r="364" ht="16.5" customHeight="1">
      <c r="A364" s="6"/>
      <c r="B364" s="6"/>
      <c r="C364" s="6"/>
      <c r="D364" s="6"/>
      <c r="E364" s="6"/>
      <c r="F364" s="6"/>
      <c r="G364" s="6"/>
      <c r="H364" s="93"/>
      <c r="I364" s="93"/>
      <c r="J364" s="93"/>
      <c r="K364" s="93"/>
      <c r="L364" s="93"/>
      <c r="M364" s="6"/>
      <c r="N364" s="6"/>
      <c r="O364" s="6"/>
      <c r="P364" s="6"/>
      <c r="Q364" s="6"/>
      <c r="R364" s="6"/>
      <c r="S364" s="6"/>
      <c r="T364" s="6"/>
      <c r="U364" s="6"/>
      <c r="V364" s="6"/>
      <c r="W364" s="6"/>
      <c r="X364" s="6"/>
      <c r="Y364" s="6"/>
      <c r="Z364" s="6"/>
      <c r="AA364" s="6"/>
      <c r="AB364" s="6"/>
    </row>
    <row r="365" ht="16.5" customHeight="1">
      <c r="A365" s="6"/>
      <c r="B365" s="6"/>
      <c r="C365" s="6"/>
      <c r="D365" s="6"/>
      <c r="E365" s="6"/>
      <c r="F365" s="6"/>
      <c r="G365" s="6"/>
      <c r="H365" s="93"/>
      <c r="I365" s="93"/>
      <c r="J365" s="93"/>
      <c r="K365" s="93"/>
      <c r="L365" s="93"/>
      <c r="M365" s="6"/>
      <c r="N365" s="6"/>
      <c r="O365" s="6"/>
      <c r="P365" s="6"/>
      <c r="Q365" s="6"/>
      <c r="R365" s="6"/>
      <c r="S365" s="6"/>
      <c r="T365" s="6"/>
      <c r="U365" s="6"/>
      <c r="V365" s="6"/>
      <c r="W365" s="6"/>
      <c r="X365" s="6"/>
      <c r="Y365" s="6"/>
      <c r="Z365" s="6"/>
      <c r="AA365" s="6"/>
      <c r="AB365" s="6"/>
    </row>
    <row r="366" ht="16.5" customHeight="1">
      <c r="A366" s="6"/>
      <c r="B366" s="6"/>
      <c r="C366" s="6"/>
      <c r="D366" s="6"/>
      <c r="E366" s="6"/>
      <c r="F366" s="6"/>
      <c r="G366" s="6"/>
      <c r="H366" s="93"/>
      <c r="I366" s="93"/>
      <c r="J366" s="93"/>
      <c r="K366" s="93"/>
      <c r="L366" s="93"/>
      <c r="M366" s="6"/>
      <c r="N366" s="6"/>
      <c r="O366" s="6"/>
      <c r="P366" s="6"/>
      <c r="Q366" s="6"/>
      <c r="R366" s="6"/>
      <c r="S366" s="6"/>
      <c r="T366" s="6"/>
      <c r="U366" s="6"/>
      <c r="V366" s="6"/>
      <c r="W366" s="6"/>
      <c r="X366" s="6"/>
      <c r="Y366" s="6"/>
      <c r="Z366" s="6"/>
      <c r="AA366" s="6"/>
      <c r="AB366" s="6"/>
    </row>
    <row r="367" ht="16.5" customHeight="1">
      <c r="A367" s="6"/>
      <c r="B367" s="6"/>
      <c r="C367" s="6"/>
      <c r="D367" s="6"/>
      <c r="E367" s="6"/>
      <c r="F367" s="6"/>
      <c r="G367" s="6"/>
      <c r="H367" s="93"/>
      <c r="I367" s="93"/>
      <c r="J367" s="93"/>
      <c r="K367" s="93"/>
      <c r="L367" s="93"/>
      <c r="M367" s="6"/>
      <c r="N367" s="6"/>
      <c r="O367" s="6"/>
      <c r="P367" s="6"/>
      <c r="Q367" s="6"/>
      <c r="R367" s="6"/>
      <c r="S367" s="6"/>
      <c r="T367" s="6"/>
      <c r="U367" s="6"/>
      <c r="V367" s="6"/>
      <c r="W367" s="6"/>
      <c r="X367" s="6"/>
      <c r="Y367" s="6"/>
      <c r="Z367" s="6"/>
      <c r="AA367" s="6"/>
      <c r="AB367" s="6"/>
    </row>
    <row r="368" ht="16.5" customHeight="1">
      <c r="A368" s="6"/>
      <c r="B368" s="6"/>
      <c r="C368" s="6"/>
      <c r="D368" s="6"/>
      <c r="E368" s="6"/>
      <c r="F368" s="6"/>
      <c r="G368" s="6"/>
      <c r="H368" s="93"/>
      <c r="I368" s="93"/>
      <c r="J368" s="93"/>
      <c r="K368" s="93"/>
      <c r="L368" s="93"/>
      <c r="M368" s="6"/>
      <c r="N368" s="6"/>
      <c r="O368" s="6"/>
      <c r="P368" s="6"/>
      <c r="Q368" s="6"/>
      <c r="R368" s="6"/>
      <c r="S368" s="6"/>
      <c r="T368" s="6"/>
      <c r="U368" s="6"/>
      <c r="V368" s="6"/>
      <c r="W368" s="6"/>
      <c r="X368" s="6"/>
      <c r="Y368" s="6"/>
      <c r="Z368" s="6"/>
      <c r="AA368" s="6"/>
      <c r="AB368" s="6"/>
    </row>
    <row r="369" ht="16.5" customHeight="1">
      <c r="A369" s="6"/>
      <c r="B369" s="6"/>
      <c r="C369" s="6"/>
      <c r="D369" s="6"/>
      <c r="E369" s="6"/>
      <c r="F369" s="6"/>
      <c r="G369" s="6"/>
      <c r="H369" s="93"/>
      <c r="I369" s="93"/>
      <c r="J369" s="93"/>
      <c r="K369" s="93"/>
      <c r="L369" s="93"/>
      <c r="M369" s="6"/>
      <c r="N369" s="6"/>
      <c r="O369" s="6"/>
      <c r="P369" s="6"/>
      <c r="Q369" s="6"/>
      <c r="R369" s="6"/>
      <c r="S369" s="6"/>
      <c r="T369" s="6"/>
      <c r="U369" s="6"/>
      <c r="V369" s="6"/>
      <c r="W369" s="6"/>
      <c r="X369" s="6"/>
      <c r="Y369" s="6"/>
      <c r="Z369" s="6"/>
      <c r="AA369" s="6"/>
      <c r="AB369" s="6"/>
    </row>
    <row r="370" ht="16.5" customHeight="1">
      <c r="A370" s="6"/>
      <c r="B370" s="6"/>
      <c r="C370" s="6"/>
      <c r="D370" s="6"/>
      <c r="E370" s="6"/>
      <c r="F370" s="6"/>
      <c r="G370" s="6"/>
      <c r="H370" s="93"/>
      <c r="I370" s="93"/>
      <c r="J370" s="93"/>
      <c r="K370" s="93"/>
      <c r="L370" s="93"/>
      <c r="M370" s="6"/>
      <c r="N370" s="6"/>
      <c r="O370" s="6"/>
      <c r="P370" s="6"/>
      <c r="Q370" s="6"/>
      <c r="R370" s="6"/>
      <c r="S370" s="6"/>
      <c r="T370" s="6"/>
      <c r="U370" s="6"/>
      <c r="V370" s="6"/>
      <c r="W370" s="6"/>
      <c r="X370" s="6"/>
      <c r="Y370" s="6"/>
      <c r="Z370" s="6"/>
      <c r="AA370" s="6"/>
      <c r="AB370" s="6"/>
    </row>
    <row r="371" ht="16.5" customHeight="1">
      <c r="A371" s="6"/>
      <c r="B371" s="6"/>
      <c r="C371" s="6"/>
      <c r="D371" s="6"/>
      <c r="E371" s="6"/>
      <c r="F371" s="6"/>
      <c r="G371" s="6"/>
      <c r="H371" s="93"/>
      <c r="I371" s="93"/>
      <c r="J371" s="93"/>
      <c r="K371" s="93"/>
      <c r="L371" s="93"/>
      <c r="M371" s="6"/>
      <c r="N371" s="6"/>
      <c r="O371" s="6"/>
      <c r="P371" s="6"/>
      <c r="Q371" s="6"/>
      <c r="R371" s="6"/>
      <c r="S371" s="6"/>
      <c r="T371" s="6"/>
      <c r="U371" s="6"/>
      <c r="V371" s="6"/>
      <c r="W371" s="6"/>
      <c r="X371" s="6"/>
      <c r="Y371" s="6"/>
      <c r="Z371" s="6"/>
      <c r="AA371" s="6"/>
      <c r="AB371" s="6"/>
    </row>
    <row r="372" ht="16.5" customHeight="1">
      <c r="A372" s="6"/>
      <c r="B372" s="6"/>
      <c r="C372" s="6"/>
      <c r="D372" s="6"/>
      <c r="E372" s="6"/>
      <c r="F372" s="6"/>
      <c r="G372" s="6"/>
      <c r="H372" s="93"/>
      <c r="I372" s="93"/>
      <c r="J372" s="93"/>
      <c r="K372" s="93"/>
      <c r="L372" s="93"/>
      <c r="M372" s="6"/>
      <c r="N372" s="6"/>
      <c r="O372" s="6"/>
      <c r="P372" s="6"/>
      <c r="Q372" s="6"/>
      <c r="R372" s="6"/>
      <c r="S372" s="6"/>
      <c r="T372" s="6"/>
      <c r="U372" s="6"/>
      <c r="V372" s="6"/>
      <c r="W372" s="6"/>
      <c r="X372" s="6"/>
      <c r="Y372" s="6"/>
      <c r="Z372" s="6"/>
      <c r="AA372" s="6"/>
      <c r="AB372" s="6"/>
    </row>
    <row r="373" ht="16.5" customHeight="1">
      <c r="A373" s="6"/>
      <c r="B373" s="6"/>
      <c r="C373" s="6"/>
      <c r="D373" s="6"/>
      <c r="E373" s="6"/>
      <c r="F373" s="6"/>
      <c r="G373" s="6"/>
      <c r="H373" s="93"/>
      <c r="I373" s="93"/>
      <c r="J373" s="93"/>
      <c r="K373" s="93"/>
      <c r="L373" s="93"/>
      <c r="M373" s="6"/>
      <c r="N373" s="6"/>
      <c r="O373" s="6"/>
      <c r="P373" s="6"/>
      <c r="Q373" s="6"/>
      <c r="R373" s="6"/>
      <c r="S373" s="6"/>
      <c r="T373" s="6"/>
      <c r="U373" s="6"/>
      <c r="V373" s="6"/>
      <c r="W373" s="6"/>
      <c r="X373" s="6"/>
      <c r="Y373" s="6"/>
      <c r="Z373" s="6"/>
      <c r="AA373" s="6"/>
      <c r="AB373" s="6"/>
    </row>
    <row r="374" ht="16.5" customHeight="1">
      <c r="A374" s="6"/>
      <c r="B374" s="6"/>
      <c r="C374" s="6"/>
      <c r="D374" s="6"/>
      <c r="E374" s="6"/>
      <c r="F374" s="6"/>
      <c r="G374" s="6"/>
      <c r="H374" s="93"/>
      <c r="I374" s="93"/>
      <c r="J374" s="93"/>
      <c r="K374" s="93"/>
      <c r="L374" s="93"/>
      <c r="M374" s="6"/>
      <c r="N374" s="6"/>
      <c r="O374" s="6"/>
      <c r="P374" s="6"/>
      <c r="Q374" s="6"/>
      <c r="R374" s="6"/>
      <c r="S374" s="6"/>
      <c r="T374" s="6"/>
      <c r="U374" s="6"/>
      <c r="V374" s="6"/>
      <c r="W374" s="6"/>
      <c r="X374" s="6"/>
      <c r="Y374" s="6"/>
      <c r="Z374" s="6"/>
      <c r="AA374" s="6"/>
      <c r="AB374" s="6"/>
    </row>
    <row r="375" ht="16.5" customHeight="1">
      <c r="A375" s="6"/>
      <c r="B375" s="6"/>
      <c r="C375" s="6"/>
      <c r="D375" s="6"/>
      <c r="E375" s="6"/>
      <c r="F375" s="6"/>
      <c r="G375" s="6"/>
      <c r="H375" s="93"/>
      <c r="I375" s="93"/>
      <c r="J375" s="93"/>
      <c r="K375" s="93"/>
      <c r="L375" s="93"/>
      <c r="M375" s="6"/>
      <c r="N375" s="6"/>
      <c r="O375" s="6"/>
      <c r="P375" s="6"/>
      <c r="Q375" s="6"/>
      <c r="R375" s="6"/>
      <c r="S375" s="6"/>
      <c r="T375" s="6"/>
      <c r="U375" s="6"/>
      <c r="V375" s="6"/>
      <c r="W375" s="6"/>
      <c r="X375" s="6"/>
      <c r="Y375" s="6"/>
      <c r="Z375" s="6"/>
      <c r="AA375" s="6"/>
      <c r="AB375" s="6"/>
    </row>
    <row r="376" ht="16.5" customHeight="1">
      <c r="A376" s="6"/>
      <c r="B376" s="6"/>
      <c r="C376" s="6"/>
      <c r="D376" s="6"/>
      <c r="E376" s="6"/>
      <c r="F376" s="6"/>
      <c r="G376" s="6"/>
      <c r="H376" s="93"/>
      <c r="I376" s="93"/>
      <c r="J376" s="93"/>
      <c r="K376" s="93"/>
      <c r="L376" s="93"/>
      <c r="M376" s="6"/>
      <c r="N376" s="6"/>
      <c r="O376" s="6"/>
      <c r="P376" s="6"/>
      <c r="Q376" s="6"/>
      <c r="R376" s="6"/>
      <c r="S376" s="6"/>
      <c r="T376" s="6"/>
      <c r="U376" s="6"/>
      <c r="V376" s="6"/>
      <c r="W376" s="6"/>
      <c r="X376" s="6"/>
      <c r="Y376" s="6"/>
      <c r="Z376" s="6"/>
      <c r="AA376" s="6"/>
      <c r="AB376" s="6"/>
    </row>
    <row r="377" ht="16.5" customHeight="1">
      <c r="A377" s="6"/>
      <c r="B377" s="6"/>
      <c r="C377" s="6"/>
      <c r="D377" s="6"/>
      <c r="E377" s="6"/>
      <c r="F377" s="6"/>
      <c r="G377" s="6"/>
      <c r="H377" s="93"/>
      <c r="I377" s="93"/>
      <c r="J377" s="93"/>
      <c r="K377" s="93"/>
      <c r="L377" s="93"/>
      <c r="M377" s="6"/>
      <c r="N377" s="6"/>
      <c r="O377" s="6"/>
      <c r="P377" s="6"/>
      <c r="Q377" s="6"/>
      <c r="R377" s="6"/>
      <c r="S377" s="6"/>
      <c r="T377" s="6"/>
      <c r="U377" s="6"/>
      <c r="V377" s="6"/>
      <c r="W377" s="6"/>
      <c r="X377" s="6"/>
      <c r="Y377" s="6"/>
      <c r="Z377" s="6"/>
      <c r="AA377" s="6"/>
      <c r="AB377" s="6"/>
    </row>
    <row r="378" ht="16.5" customHeight="1">
      <c r="A378" s="6"/>
      <c r="B378" s="6"/>
      <c r="C378" s="6"/>
      <c r="D378" s="6"/>
      <c r="E378" s="6"/>
      <c r="F378" s="6"/>
      <c r="G378" s="6"/>
      <c r="H378" s="93"/>
      <c r="I378" s="93"/>
      <c r="J378" s="93"/>
      <c r="K378" s="93"/>
      <c r="L378" s="93"/>
      <c r="M378" s="6"/>
      <c r="N378" s="6"/>
      <c r="O378" s="6"/>
      <c r="P378" s="6"/>
      <c r="Q378" s="6"/>
      <c r="R378" s="6"/>
      <c r="S378" s="6"/>
      <c r="T378" s="6"/>
      <c r="U378" s="6"/>
      <c r="V378" s="6"/>
      <c r="W378" s="6"/>
      <c r="X378" s="6"/>
      <c r="Y378" s="6"/>
      <c r="Z378" s="6"/>
      <c r="AA378" s="6"/>
      <c r="AB378" s="6"/>
    </row>
    <row r="379" ht="16.5" customHeight="1">
      <c r="A379" s="6"/>
      <c r="B379" s="6"/>
      <c r="C379" s="6"/>
      <c r="D379" s="6"/>
      <c r="E379" s="6"/>
      <c r="F379" s="6"/>
      <c r="G379" s="6"/>
      <c r="H379" s="93"/>
      <c r="I379" s="93"/>
      <c r="J379" s="93"/>
      <c r="K379" s="93"/>
      <c r="L379" s="93"/>
      <c r="M379" s="6"/>
      <c r="N379" s="6"/>
      <c r="O379" s="6"/>
      <c r="P379" s="6"/>
      <c r="Q379" s="6"/>
      <c r="R379" s="6"/>
      <c r="S379" s="6"/>
      <c r="T379" s="6"/>
      <c r="U379" s="6"/>
      <c r="V379" s="6"/>
      <c r="W379" s="6"/>
      <c r="X379" s="6"/>
      <c r="Y379" s="6"/>
      <c r="Z379" s="6"/>
      <c r="AA379" s="6"/>
      <c r="AB379" s="6"/>
    </row>
    <row r="380" ht="16.5" customHeight="1">
      <c r="A380" s="6"/>
      <c r="B380" s="6"/>
      <c r="C380" s="6"/>
      <c r="D380" s="6"/>
      <c r="E380" s="6"/>
      <c r="F380" s="6"/>
      <c r="G380" s="6"/>
      <c r="H380" s="93"/>
      <c r="I380" s="93"/>
      <c r="J380" s="93"/>
      <c r="K380" s="93"/>
      <c r="L380" s="93"/>
      <c r="M380" s="6"/>
      <c r="N380" s="6"/>
      <c r="O380" s="6"/>
      <c r="P380" s="6"/>
      <c r="Q380" s="6"/>
      <c r="R380" s="6"/>
      <c r="S380" s="6"/>
      <c r="T380" s="6"/>
      <c r="U380" s="6"/>
      <c r="V380" s="6"/>
      <c r="W380" s="6"/>
      <c r="X380" s="6"/>
      <c r="Y380" s="6"/>
      <c r="Z380" s="6"/>
      <c r="AA380" s="6"/>
      <c r="AB380" s="6"/>
    </row>
    <row r="381" ht="16.5" customHeight="1">
      <c r="A381" s="6"/>
      <c r="B381" s="6"/>
      <c r="C381" s="6"/>
      <c r="D381" s="6"/>
      <c r="E381" s="6"/>
      <c r="F381" s="6"/>
      <c r="G381" s="6"/>
      <c r="H381" s="93"/>
      <c r="I381" s="93"/>
      <c r="J381" s="93"/>
      <c r="K381" s="93"/>
      <c r="L381" s="93"/>
      <c r="M381" s="6"/>
      <c r="N381" s="6"/>
      <c r="O381" s="6"/>
      <c r="P381" s="6"/>
      <c r="Q381" s="6"/>
      <c r="R381" s="6"/>
      <c r="S381" s="6"/>
      <c r="T381" s="6"/>
      <c r="U381" s="6"/>
      <c r="V381" s="6"/>
      <c r="W381" s="6"/>
      <c r="X381" s="6"/>
      <c r="Y381" s="6"/>
      <c r="Z381" s="6"/>
      <c r="AA381" s="6"/>
      <c r="AB381" s="6"/>
    </row>
    <row r="382" ht="16.5" customHeight="1">
      <c r="A382" s="6"/>
      <c r="B382" s="6"/>
      <c r="C382" s="6"/>
      <c r="D382" s="6"/>
      <c r="E382" s="6"/>
      <c r="F382" s="6"/>
      <c r="G382" s="6"/>
      <c r="H382" s="93"/>
      <c r="I382" s="93"/>
      <c r="J382" s="93"/>
      <c r="K382" s="93"/>
      <c r="L382" s="93"/>
      <c r="M382" s="6"/>
      <c r="N382" s="6"/>
      <c r="O382" s="6"/>
      <c r="P382" s="6"/>
      <c r="Q382" s="6"/>
      <c r="R382" s="6"/>
      <c r="S382" s="6"/>
      <c r="T382" s="6"/>
      <c r="U382" s="6"/>
      <c r="V382" s="6"/>
      <c r="W382" s="6"/>
      <c r="X382" s="6"/>
      <c r="Y382" s="6"/>
      <c r="Z382" s="6"/>
      <c r="AA382" s="6"/>
      <c r="AB382" s="6"/>
    </row>
    <row r="383" ht="16.5" customHeight="1">
      <c r="A383" s="6"/>
      <c r="B383" s="6"/>
      <c r="C383" s="6"/>
      <c r="D383" s="6"/>
      <c r="E383" s="6"/>
      <c r="F383" s="6"/>
      <c r="G383" s="6"/>
      <c r="H383" s="93"/>
      <c r="I383" s="93"/>
      <c r="J383" s="93"/>
      <c r="K383" s="93"/>
      <c r="L383" s="93"/>
      <c r="M383" s="6"/>
      <c r="N383" s="6"/>
      <c r="O383" s="6"/>
      <c r="P383" s="6"/>
      <c r="Q383" s="6"/>
      <c r="R383" s="6"/>
      <c r="S383" s="6"/>
      <c r="T383" s="6"/>
      <c r="U383" s="6"/>
      <c r="V383" s="6"/>
      <c r="W383" s="6"/>
      <c r="X383" s="6"/>
      <c r="Y383" s="6"/>
      <c r="Z383" s="6"/>
      <c r="AA383" s="6"/>
      <c r="AB383" s="6"/>
    </row>
    <row r="384" ht="16.5" customHeight="1">
      <c r="A384" s="6"/>
      <c r="B384" s="6"/>
      <c r="C384" s="6"/>
      <c r="D384" s="6"/>
      <c r="E384" s="6"/>
      <c r="F384" s="6"/>
      <c r="G384" s="6"/>
      <c r="H384" s="93"/>
      <c r="I384" s="93"/>
      <c r="J384" s="93"/>
      <c r="K384" s="93"/>
      <c r="L384" s="93"/>
      <c r="M384" s="6"/>
      <c r="N384" s="6"/>
      <c r="O384" s="6"/>
      <c r="P384" s="6"/>
      <c r="Q384" s="6"/>
      <c r="R384" s="6"/>
      <c r="S384" s="6"/>
      <c r="T384" s="6"/>
      <c r="U384" s="6"/>
      <c r="V384" s="6"/>
      <c r="W384" s="6"/>
      <c r="X384" s="6"/>
      <c r="Y384" s="6"/>
      <c r="Z384" s="6"/>
      <c r="AA384" s="6"/>
      <c r="AB384" s="6"/>
    </row>
    <row r="385" ht="16.5" customHeight="1">
      <c r="A385" s="6"/>
      <c r="B385" s="6"/>
      <c r="C385" s="6"/>
      <c r="D385" s="6"/>
      <c r="E385" s="6"/>
      <c r="F385" s="6"/>
      <c r="G385" s="6"/>
      <c r="H385" s="93"/>
      <c r="I385" s="93"/>
      <c r="J385" s="93"/>
      <c r="K385" s="93"/>
      <c r="L385" s="93"/>
      <c r="M385" s="6"/>
      <c r="N385" s="6"/>
      <c r="O385" s="6"/>
      <c r="P385" s="6"/>
      <c r="Q385" s="6"/>
      <c r="R385" s="6"/>
      <c r="S385" s="6"/>
      <c r="T385" s="6"/>
      <c r="U385" s="6"/>
      <c r="V385" s="6"/>
      <c r="W385" s="6"/>
      <c r="X385" s="6"/>
      <c r="Y385" s="6"/>
      <c r="Z385" s="6"/>
      <c r="AA385" s="6"/>
      <c r="AB385" s="6"/>
    </row>
    <row r="386" ht="16.5" customHeight="1">
      <c r="A386" s="6"/>
      <c r="B386" s="6"/>
      <c r="C386" s="6"/>
      <c r="D386" s="6"/>
      <c r="E386" s="6"/>
      <c r="F386" s="6"/>
      <c r="G386" s="6"/>
      <c r="H386" s="93"/>
      <c r="I386" s="93"/>
      <c r="J386" s="93"/>
      <c r="K386" s="93"/>
      <c r="L386" s="93"/>
      <c r="M386" s="6"/>
      <c r="N386" s="6"/>
      <c r="O386" s="6"/>
      <c r="P386" s="6"/>
      <c r="Q386" s="6"/>
      <c r="R386" s="6"/>
      <c r="S386" s="6"/>
      <c r="T386" s="6"/>
      <c r="U386" s="6"/>
      <c r="V386" s="6"/>
      <c r="W386" s="6"/>
      <c r="X386" s="6"/>
      <c r="Y386" s="6"/>
      <c r="Z386" s="6"/>
      <c r="AA386" s="6"/>
      <c r="AB386" s="6"/>
    </row>
    <row r="387" ht="16.5" customHeight="1">
      <c r="A387" s="6"/>
      <c r="B387" s="6"/>
      <c r="C387" s="6"/>
      <c r="D387" s="6"/>
      <c r="E387" s="6"/>
      <c r="F387" s="6"/>
      <c r="G387" s="6"/>
      <c r="H387" s="93"/>
      <c r="I387" s="93"/>
      <c r="J387" s="93"/>
      <c r="K387" s="93"/>
      <c r="L387" s="93"/>
      <c r="M387" s="6"/>
      <c r="N387" s="6"/>
      <c r="O387" s="6"/>
      <c r="P387" s="6"/>
      <c r="Q387" s="6"/>
      <c r="R387" s="6"/>
      <c r="S387" s="6"/>
      <c r="T387" s="6"/>
      <c r="U387" s="6"/>
      <c r="V387" s="6"/>
      <c r="W387" s="6"/>
      <c r="X387" s="6"/>
      <c r="Y387" s="6"/>
      <c r="Z387" s="6"/>
      <c r="AA387" s="6"/>
      <c r="AB387" s="6"/>
    </row>
    <row r="388" ht="16.5" customHeight="1">
      <c r="A388" s="6"/>
      <c r="B388" s="6"/>
      <c r="C388" s="6"/>
      <c r="D388" s="6"/>
      <c r="E388" s="6"/>
      <c r="F388" s="6"/>
      <c r="G388" s="6"/>
      <c r="H388" s="93"/>
      <c r="I388" s="93"/>
      <c r="J388" s="93"/>
      <c r="K388" s="93"/>
      <c r="L388" s="93"/>
      <c r="M388" s="6"/>
      <c r="N388" s="6"/>
      <c r="O388" s="6"/>
      <c r="P388" s="6"/>
      <c r="Q388" s="6"/>
      <c r="R388" s="6"/>
      <c r="S388" s="6"/>
      <c r="T388" s="6"/>
      <c r="U388" s="6"/>
      <c r="V388" s="6"/>
      <c r="W388" s="6"/>
      <c r="X388" s="6"/>
      <c r="Y388" s="6"/>
      <c r="Z388" s="6"/>
      <c r="AA388" s="6"/>
      <c r="AB388" s="6"/>
    </row>
    <row r="389" ht="16.5" customHeight="1">
      <c r="A389" s="6"/>
      <c r="B389" s="6"/>
      <c r="C389" s="6"/>
      <c r="D389" s="6"/>
      <c r="E389" s="6"/>
      <c r="F389" s="6"/>
      <c r="G389" s="6"/>
      <c r="H389" s="93"/>
      <c r="I389" s="93"/>
      <c r="J389" s="93"/>
      <c r="K389" s="93"/>
      <c r="L389" s="93"/>
      <c r="M389" s="6"/>
      <c r="N389" s="6"/>
      <c r="O389" s="6"/>
      <c r="P389" s="6"/>
      <c r="Q389" s="6"/>
      <c r="R389" s="6"/>
      <c r="S389" s="6"/>
      <c r="T389" s="6"/>
      <c r="U389" s="6"/>
      <c r="V389" s="6"/>
      <c r="W389" s="6"/>
      <c r="X389" s="6"/>
      <c r="Y389" s="6"/>
      <c r="Z389" s="6"/>
      <c r="AA389" s="6"/>
      <c r="AB389" s="6"/>
    </row>
    <row r="390" ht="16.5" customHeight="1">
      <c r="A390" s="6"/>
      <c r="B390" s="6"/>
      <c r="C390" s="6"/>
      <c r="D390" s="6"/>
      <c r="E390" s="6"/>
      <c r="F390" s="6"/>
      <c r="G390" s="6"/>
      <c r="H390" s="93"/>
      <c r="I390" s="93"/>
      <c r="J390" s="93"/>
      <c r="K390" s="93"/>
      <c r="L390" s="93"/>
      <c r="M390" s="6"/>
      <c r="N390" s="6"/>
      <c r="O390" s="6"/>
      <c r="P390" s="6"/>
      <c r="Q390" s="6"/>
      <c r="R390" s="6"/>
      <c r="S390" s="6"/>
      <c r="T390" s="6"/>
      <c r="U390" s="6"/>
      <c r="V390" s="6"/>
      <c r="W390" s="6"/>
      <c r="X390" s="6"/>
      <c r="Y390" s="6"/>
      <c r="Z390" s="6"/>
      <c r="AA390" s="6"/>
      <c r="AB390" s="6"/>
    </row>
    <row r="391" ht="16.5" customHeight="1">
      <c r="A391" s="6"/>
      <c r="B391" s="6"/>
      <c r="C391" s="6"/>
      <c r="D391" s="6"/>
      <c r="E391" s="6"/>
      <c r="F391" s="6"/>
      <c r="G391" s="6"/>
      <c r="H391" s="93"/>
      <c r="I391" s="93"/>
      <c r="J391" s="93"/>
      <c r="K391" s="93"/>
      <c r="L391" s="93"/>
      <c r="M391" s="6"/>
      <c r="N391" s="6"/>
      <c r="O391" s="6"/>
      <c r="P391" s="6"/>
      <c r="Q391" s="6"/>
      <c r="R391" s="6"/>
      <c r="S391" s="6"/>
      <c r="T391" s="6"/>
      <c r="U391" s="6"/>
      <c r="V391" s="6"/>
      <c r="W391" s="6"/>
      <c r="X391" s="6"/>
      <c r="Y391" s="6"/>
      <c r="Z391" s="6"/>
      <c r="AA391" s="6"/>
      <c r="AB391" s="6"/>
    </row>
    <row r="392" ht="16.5" customHeight="1">
      <c r="A392" s="6"/>
      <c r="B392" s="6"/>
      <c r="C392" s="6"/>
      <c r="D392" s="6"/>
      <c r="E392" s="6"/>
      <c r="F392" s="6"/>
      <c r="G392" s="6"/>
      <c r="H392" s="93"/>
      <c r="I392" s="93"/>
      <c r="J392" s="93"/>
      <c r="K392" s="93"/>
      <c r="L392" s="93"/>
      <c r="M392" s="6"/>
      <c r="N392" s="6"/>
      <c r="O392" s="6"/>
      <c r="P392" s="6"/>
      <c r="Q392" s="6"/>
      <c r="R392" s="6"/>
      <c r="S392" s="6"/>
      <c r="T392" s="6"/>
      <c r="U392" s="6"/>
      <c r="V392" s="6"/>
      <c r="W392" s="6"/>
      <c r="X392" s="6"/>
      <c r="Y392" s="6"/>
      <c r="Z392" s="6"/>
      <c r="AA392" s="6"/>
      <c r="AB392" s="6"/>
    </row>
    <row r="393" ht="16.5" customHeight="1">
      <c r="A393" s="6"/>
      <c r="B393" s="6"/>
      <c r="C393" s="6"/>
      <c r="D393" s="6"/>
      <c r="E393" s="6"/>
      <c r="F393" s="6"/>
      <c r="G393" s="6"/>
      <c r="H393" s="93"/>
      <c r="I393" s="93"/>
      <c r="J393" s="93"/>
      <c r="K393" s="93"/>
      <c r="L393" s="93"/>
      <c r="M393" s="6"/>
      <c r="N393" s="6"/>
      <c r="O393" s="6"/>
      <c r="P393" s="6"/>
      <c r="Q393" s="6"/>
      <c r="R393" s="6"/>
      <c r="S393" s="6"/>
      <c r="T393" s="6"/>
      <c r="U393" s="6"/>
      <c r="V393" s="6"/>
      <c r="W393" s="6"/>
      <c r="X393" s="6"/>
      <c r="Y393" s="6"/>
      <c r="Z393" s="6"/>
      <c r="AA393" s="6"/>
      <c r="AB393" s="6"/>
    </row>
    <row r="394" ht="16.5" customHeight="1">
      <c r="A394" s="6"/>
      <c r="B394" s="6"/>
      <c r="C394" s="6"/>
      <c r="D394" s="6"/>
      <c r="E394" s="6"/>
      <c r="F394" s="6"/>
      <c r="G394" s="6"/>
      <c r="H394" s="93"/>
      <c r="I394" s="93"/>
      <c r="J394" s="93"/>
      <c r="K394" s="93"/>
      <c r="L394" s="93"/>
      <c r="M394" s="6"/>
      <c r="N394" s="6"/>
      <c r="O394" s="6"/>
      <c r="P394" s="6"/>
      <c r="Q394" s="6"/>
      <c r="R394" s="6"/>
      <c r="S394" s="6"/>
      <c r="T394" s="6"/>
      <c r="U394" s="6"/>
      <c r="V394" s="6"/>
      <c r="W394" s="6"/>
      <c r="X394" s="6"/>
      <c r="Y394" s="6"/>
      <c r="Z394" s="6"/>
      <c r="AA394" s="6"/>
      <c r="AB394" s="6"/>
    </row>
    <row r="395" ht="16.5" customHeight="1">
      <c r="A395" s="6"/>
      <c r="B395" s="6"/>
      <c r="C395" s="6"/>
      <c r="D395" s="6"/>
      <c r="E395" s="6"/>
      <c r="F395" s="6"/>
      <c r="G395" s="6"/>
      <c r="H395" s="93"/>
      <c r="I395" s="93"/>
      <c r="J395" s="93"/>
      <c r="K395" s="93"/>
      <c r="L395" s="93"/>
      <c r="M395" s="6"/>
      <c r="N395" s="6"/>
      <c r="O395" s="6"/>
      <c r="P395" s="6"/>
      <c r="Q395" s="6"/>
      <c r="R395" s="6"/>
      <c r="S395" s="6"/>
      <c r="T395" s="6"/>
      <c r="U395" s="6"/>
      <c r="V395" s="6"/>
      <c r="W395" s="6"/>
      <c r="X395" s="6"/>
      <c r="Y395" s="6"/>
      <c r="Z395" s="6"/>
      <c r="AA395" s="6"/>
      <c r="AB395" s="6"/>
    </row>
    <row r="396" ht="16.5" customHeight="1">
      <c r="A396" s="6"/>
      <c r="B396" s="6"/>
      <c r="C396" s="6"/>
      <c r="D396" s="6"/>
      <c r="E396" s="6"/>
      <c r="F396" s="6"/>
      <c r="G396" s="6"/>
      <c r="H396" s="93"/>
      <c r="I396" s="93"/>
      <c r="J396" s="93"/>
      <c r="K396" s="93"/>
      <c r="L396" s="93"/>
      <c r="M396" s="6"/>
      <c r="N396" s="6"/>
      <c r="O396" s="6"/>
      <c r="P396" s="6"/>
      <c r="Q396" s="6"/>
      <c r="R396" s="6"/>
      <c r="S396" s="6"/>
      <c r="T396" s="6"/>
      <c r="U396" s="6"/>
      <c r="V396" s="6"/>
      <c r="W396" s="6"/>
      <c r="X396" s="6"/>
      <c r="Y396" s="6"/>
      <c r="Z396" s="6"/>
      <c r="AA396" s="6"/>
      <c r="AB396" s="6"/>
    </row>
    <row r="397" ht="16.5" customHeight="1">
      <c r="A397" s="6"/>
      <c r="B397" s="6"/>
      <c r="C397" s="6"/>
      <c r="D397" s="6"/>
      <c r="E397" s="6"/>
      <c r="F397" s="6"/>
      <c r="G397" s="6"/>
      <c r="H397" s="93"/>
      <c r="I397" s="93"/>
      <c r="J397" s="93"/>
      <c r="K397" s="93"/>
      <c r="L397" s="93"/>
      <c r="M397" s="6"/>
      <c r="N397" s="6"/>
      <c r="O397" s="6"/>
      <c r="P397" s="6"/>
      <c r="Q397" s="6"/>
      <c r="R397" s="6"/>
      <c r="S397" s="6"/>
      <c r="T397" s="6"/>
      <c r="U397" s="6"/>
      <c r="V397" s="6"/>
      <c r="W397" s="6"/>
      <c r="X397" s="6"/>
      <c r="Y397" s="6"/>
      <c r="Z397" s="6"/>
      <c r="AA397" s="6"/>
      <c r="AB397" s="6"/>
    </row>
    <row r="398" ht="16.5" customHeight="1">
      <c r="A398" s="6"/>
      <c r="B398" s="6"/>
      <c r="C398" s="6"/>
      <c r="D398" s="6"/>
      <c r="E398" s="6"/>
      <c r="F398" s="6"/>
      <c r="G398" s="6"/>
      <c r="H398" s="93"/>
      <c r="I398" s="93"/>
      <c r="J398" s="93"/>
      <c r="K398" s="93"/>
      <c r="L398" s="93"/>
      <c r="M398" s="6"/>
      <c r="N398" s="6"/>
      <c r="O398" s="6"/>
      <c r="P398" s="6"/>
      <c r="Q398" s="6"/>
      <c r="R398" s="6"/>
      <c r="S398" s="6"/>
      <c r="T398" s="6"/>
      <c r="U398" s="6"/>
      <c r="V398" s="6"/>
      <c r="W398" s="6"/>
      <c r="X398" s="6"/>
      <c r="Y398" s="6"/>
      <c r="Z398" s="6"/>
      <c r="AA398" s="6"/>
      <c r="AB398" s="6"/>
    </row>
    <row r="399" ht="16.5" customHeight="1">
      <c r="A399" s="6"/>
      <c r="B399" s="6"/>
      <c r="C399" s="6"/>
      <c r="D399" s="6"/>
      <c r="E399" s="6"/>
      <c r="F399" s="6"/>
      <c r="G399" s="6"/>
      <c r="H399" s="93"/>
      <c r="I399" s="93"/>
      <c r="J399" s="93"/>
      <c r="K399" s="93"/>
      <c r="L399" s="93"/>
      <c r="M399" s="6"/>
      <c r="N399" s="6"/>
      <c r="O399" s="6"/>
      <c r="P399" s="6"/>
      <c r="Q399" s="6"/>
      <c r="R399" s="6"/>
      <c r="S399" s="6"/>
      <c r="T399" s="6"/>
      <c r="U399" s="6"/>
      <c r="V399" s="6"/>
      <c r="W399" s="6"/>
      <c r="X399" s="6"/>
      <c r="Y399" s="6"/>
      <c r="Z399" s="6"/>
      <c r="AA399" s="6"/>
      <c r="AB399" s="6"/>
    </row>
    <row r="400" ht="16.5" customHeight="1">
      <c r="A400" s="6"/>
      <c r="B400" s="6"/>
      <c r="C400" s="6"/>
      <c r="D400" s="6"/>
      <c r="E400" s="6"/>
      <c r="F400" s="6"/>
      <c r="G400" s="6"/>
      <c r="H400" s="93"/>
      <c r="I400" s="93"/>
      <c r="J400" s="93"/>
      <c r="K400" s="93"/>
      <c r="L400" s="93"/>
      <c r="M400" s="6"/>
      <c r="N400" s="6"/>
      <c r="O400" s="6"/>
      <c r="P400" s="6"/>
      <c r="Q400" s="6"/>
      <c r="R400" s="6"/>
      <c r="S400" s="6"/>
      <c r="T400" s="6"/>
      <c r="U400" s="6"/>
      <c r="V400" s="6"/>
      <c r="W400" s="6"/>
      <c r="X400" s="6"/>
      <c r="Y400" s="6"/>
      <c r="Z400" s="6"/>
      <c r="AA400" s="6"/>
      <c r="AB400" s="6"/>
    </row>
    <row r="401" ht="16.5" customHeight="1">
      <c r="A401" s="6"/>
      <c r="B401" s="6"/>
      <c r="C401" s="6"/>
      <c r="D401" s="6"/>
      <c r="E401" s="6"/>
      <c r="F401" s="6"/>
      <c r="G401" s="6"/>
      <c r="H401" s="93"/>
      <c r="I401" s="93"/>
      <c r="J401" s="93"/>
      <c r="K401" s="93"/>
      <c r="L401" s="93"/>
      <c r="M401" s="6"/>
      <c r="N401" s="6"/>
      <c r="O401" s="6"/>
      <c r="P401" s="6"/>
      <c r="Q401" s="6"/>
      <c r="R401" s="6"/>
      <c r="S401" s="6"/>
      <c r="T401" s="6"/>
      <c r="U401" s="6"/>
      <c r="V401" s="6"/>
      <c r="W401" s="6"/>
      <c r="X401" s="6"/>
      <c r="Y401" s="6"/>
      <c r="Z401" s="6"/>
      <c r="AA401" s="6"/>
      <c r="AB401" s="6"/>
    </row>
    <row r="402" ht="16.5" customHeight="1">
      <c r="A402" s="6"/>
      <c r="B402" s="6"/>
      <c r="C402" s="6"/>
      <c r="D402" s="6"/>
      <c r="E402" s="6"/>
      <c r="F402" s="6"/>
      <c r="G402" s="6"/>
      <c r="H402" s="93"/>
      <c r="I402" s="93"/>
      <c r="J402" s="93"/>
      <c r="K402" s="93"/>
      <c r="L402" s="93"/>
      <c r="M402" s="6"/>
      <c r="N402" s="6"/>
      <c r="O402" s="6"/>
      <c r="P402" s="6"/>
      <c r="Q402" s="6"/>
      <c r="R402" s="6"/>
      <c r="S402" s="6"/>
      <c r="T402" s="6"/>
      <c r="U402" s="6"/>
      <c r="V402" s="6"/>
      <c r="W402" s="6"/>
      <c r="X402" s="6"/>
      <c r="Y402" s="6"/>
      <c r="Z402" s="6"/>
      <c r="AA402" s="6"/>
      <c r="AB402" s="6"/>
    </row>
    <row r="403" ht="16.5" customHeight="1">
      <c r="A403" s="6"/>
      <c r="B403" s="6"/>
      <c r="C403" s="6"/>
      <c r="D403" s="6"/>
      <c r="E403" s="6"/>
      <c r="F403" s="6"/>
      <c r="G403" s="6"/>
      <c r="H403" s="93"/>
      <c r="I403" s="93"/>
      <c r="J403" s="93"/>
      <c r="K403" s="93"/>
      <c r="L403" s="93"/>
      <c r="M403" s="6"/>
      <c r="N403" s="6"/>
      <c r="O403" s="6"/>
      <c r="P403" s="6"/>
      <c r="Q403" s="6"/>
      <c r="R403" s="6"/>
      <c r="S403" s="6"/>
      <c r="T403" s="6"/>
      <c r="U403" s="6"/>
      <c r="V403" s="6"/>
      <c r="W403" s="6"/>
      <c r="X403" s="6"/>
      <c r="Y403" s="6"/>
      <c r="Z403" s="6"/>
      <c r="AA403" s="6"/>
      <c r="AB403" s="6"/>
    </row>
    <row r="404" ht="16.5" customHeight="1">
      <c r="A404" s="6"/>
      <c r="B404" s="6"/>
      <c r="C404" s="6"/>
      <c r="D404" s="6"/>
      <c r="E404" s="6"/>
      <c r="F404" s="6"/>
      <c r="G404" s="6"/>
      <c r="H404" s="93"/>
      <c r="I404" s="93"/>
      <c r="J404" s="93"/>
      <c r="K404" s="93"/>
      <c r="L404" s="93"/>
      <c r="M404" s="6"/>
      <c r="N404" s="6"/>
      <c r="O404" s="6"/>
      <c r="P404" s="6"/>
      <c r="Q404" s="6"/>
      <c r="R404" s="6"/>
      <c r="S404" s="6"/>
      <c r="T404" s="6"/>
      <c r="U404" s="6"/>
      <c r="V404" s="6"/>
      <c r="W404" s="6"/>
      <c r="X404" s="6"/>
      <c r="Y404" s="6"/>
      <c r="Z404" s="6"/>
      <c r="AA404" s="6"/>
      <c r="AB404" s="6"/>
    </row>
    <row r="405" ht="16.5" customHeight="1">
      <c r="A405" s="6"/>
      <c r="B405" s="6"/>
      <c r="C405" s="6"/>
      <c r="D405" s="6"/>
      <c r="E405" s="6"/>
      <c r="F405" s="6"/>
      <c r="G405" s="6"/>
      <c r="H405" s="93"/>
      <c r="I405" s="93"/>
      <c r="J405" s="93"/>
      <c r="K405" s="93"/>
      <c r="L405" s="93"/>
      <c r="M405" s="6"/>
      <c r="N405" s="6"/>
      <c r="O405" s="6"/>
      <c r="P405" s="6"/>
      <c r="Q405" s="6"/>
      <c r="R405" s="6"/>
      <c r="S405" s="6"/>
      <c r="T405" s="6"/>
      <c r="U405" s="6"/>
      <c r="V405" s="6"/>
      <c r="W405" s="6"/>
      <c r="X405" s="6"/>
      <c r="Y405" s="6"/>
      <c r="Z405" s="6"/>
      <c r="AA405" s="6"/>
      <c r="AB405" s="6"/>
    </row>
    <row r="406" ht="16.5" customHeight="1">
      <c r="A406" s="6"/>
      <c r="B406" s="6"/>
      <c r="C406" s="6"/>
      <c r="D406" s="6"/>
      <c r="E406" s="6"/>
      <c r="F406" s="6"/>
      <c r="G406" s="6"/>
      <c r="H406" s="93"/>
      <c r="I406" s="93"/>
      <c r="J406" s="93"/>
      <c r="K406" s="93"/>
      <c r="L406" s="93"/>
      <c r="M406" s="6"/>
      <c r="N406" s="6"/>
      <c r="O406" s="6"/>
      <c r="P406" s="6"/>
      <c r="Q406" s="6"/>
      <c r="R406" s="6"/>
      <c r="S406" s="6"/>
      <c r="T406" s="6"/>
      <c r="U406" s="6"/>
      <c r="V406" s="6"/>
      <c r="W406" s="6"/>
      <c r="X406" s="6"/>
      <c r="Y406" s="6"/>
      <c r="Z406" s="6"/>
      <c r="AA406" s="6"/>
      <c r="AB406" s="6"/>
    </row>
    <row r="407" ht="16.5" customHeight="1">
      <c r="A407" s="6"/>
      <c r="B407" s="6"/>
      <c r="C407" s="6"/>
      <c r="D407" s="6"/>
      <c r="E407" s="6"/>
      <c r="F407" s="6"/>
      <c r="G407" s="6"/>
      <c r="H407" s="93"/>
      <c r="I407" s="93"/>
      <c r="J407" s="93"/>
      <c r="K407" s="93"/>
      <c r="L407" s="93"/>
      <c r="M407" s="6"/>
      <c r="N407" s="6"/>
      <c r="O407" s="6"/>
      <c r="P407" s="6"/>
      <c r="Q407" s="6"/>
      <c r="R407" s="6"/>
      <c r="S407" s="6"/>
      <c r="T407" s="6"/>
      <c r="U407" s="6"/>
      <c r="V407" s="6"/>
      <c r="W407" s="6"/>
      <c r="X407" s="6"/>
      <c r="Y407" s="6"/>
      <c r="Z407" s="6"/>
      <c r="AA407" s="6"/>
      <c r="AB407" s="6"/>
    </row>
    <row r="408" ht="16.5" customHeight="1">
      <c r="A408" s="6"/>
      <c r="B408" s="6"/>
      <c r="C408" s="6"/>
      <c r="D408" s="6"/>
      <c r="E408" s="6"/>
      <c r="F408" s="6"/>
      <c r="G408" s="6"/>
      <c r="H408" s="93"/>
      <c r="I408" s="93"/>
      <c r="J408" s="93"/>
      <c r="K408" s="93"/>
      <c r="L408" s="93"/>
      <c r="M408" s="6"/>
      <c r="N408" s="6"/>
      <c r="O408" s="6"/>
      <c r="P408" s="6"/>
      <c r="Q408" s="6"/>
      <c r="R408" s="6"/>
      <c r="S408" s="6"/>
      <c r="T408" s="6"/>
      <c r="U408" s="6"/>
      <c r="V408" s="6"/>
      <c r="W408" s="6"/>
      <c r="X408" s="6"/>
      <c r="Y408" s="6"/>
      <c r="Z408" s="6"/>
      <c r="AA408" s="6"/>
      <c r="AB408" s="6"/>
    </row>
    <row r="409" ht="16.5" customHeight="1">
      <c r="A409" s="6"/>
      <c r="B409" s="6"/>
      <c r="C409" s="6"/>
      <c r="D409" s="6"/>
      <c r="E409" s="6"/>
      <c r="F409" s="6"/>
      <c r="G409" s="6"/>
      <c r="H409" s="93"/>
      <c r="I409" s="93"/>
      <c r="J409" s="93"/>
      <c r="K409" s="93"/>
      <c r="L409" s="93"/>
      <c r="M409" s="6"/>
      <c r="N409" s="6"/>
      <c r="O409" s="6"/>
      <c r="P409" s="6"/>
      <c r="Q409" s="6"/>
      <c r="R409" s="6"/>
      <c r="S409" s="6"/>
      <c r="T409" s="6"/>
      <c r="U409" s="6"/>
      <c r="V409" s="6"/>
      <c r="W409" s="6"/>
      <c r="X409" s="6"/>
      <c r="Y409" s="6"/>
      <c r="Z409" s="6"/>
      <c r="AA409" s="6"/>
      <c r="AB409" s="6"/>
    </row>
    <row r="410" ht="16.5" customHeight="1">
      <c r="A410" s="6"/>
      <c r="B410" s="6"/>
      <c r="C410" s="6"/>
      <c r="D410" s="6"/>
      <c r="E410" s="6"/>
      <c r="F410" s="6"/>
      <c r="G410" s="6"/>
      <c r="H410" s="93"/>
      <c r="I410" s="93"/>
      <c r="J410" s="93"/>
      <c r="K410" s="93"/>
      <c r="L410" s="93"/>
      <c r="M410" s="6"/>
      <c r="N410" s="6"/>
      <c r="O410" s="6"/>
      <c r="P410" s="6"/>
      <c r="Q410" s="6"/>
      <c r="R410" s="6"/>
      <c r="S410" s="6"/>
      <c r="T410" s="6"/>
      <c r="U410" s="6"/>
      <c r="V410" s="6"/>
      <c r="W410" s="6"/>
      <c r="X410" s="6"/>
      <c r="Y410" s="6"/>
      <c r="Z410" s="6"/>
      <c r="AA410" s="6"/>
      <c r="AB410" s="6"/>
    </row>
    <row r="411" ht="16.5" customHeight="1">
      <c r="A411" s="6"/>
      <c r="B411" s="6"/>
      <c r="C411" s="6"/>
      <c r="D411" s="6"/>
      <c r="E411" s="6"/>
      <c r="F411" s="6"/>
      <c r="G411" s="6"/>
      <c r="H411" s="93"/>
      <c r="I411" s="93"/>
      <c r="J411" s="93"/>
      <c r="K411" s="93"/>
      <c r="L411" s="93"/>
      <c r="M411" s="6"/>
      <c r="N411" s="6"/>
      <c r="O411" s="6"/>
      <c r="P411" s="6"/>
      <c r="Q411" s="6"/>
      <c r="R411" s="6"/>
      <c r="S411" s="6"/>
      <c r="T411" s="6"/>
      <c r="U411" s="6"/>
      <c r="V411" s="6"/>
      <c r="W411" s="6"/>
      <c r="X411" s="6"/>
      <c r="Y411" s="6"/>
      <c r="Z411" s="6"/>
      <c r="AA411" s="6"/>
      <c r="AB411" s="6"/>
    </row>
    <row r="412" ht="16.5" customHeight="1">
      <c r="A412" s="6"/>
      <c r="B412" s="6"/>
      <c r="C412" s="6"/>
      <c r="D412" s="6"/>
      <c r="E412" s="6"/>
      <c r="F412" s="6"/>
      <c r="G412" s="6"/>
      <c r="H412" s="93"/>
      <c r="I412" s="93"/>
      <c r="J412" s="93"/>
      <c r="K412" s="93"/>
      <c r="L412" s="93"/>
      <c r="M412" s="6"/>
      <c r="N412" s="6"/>
      <c r="O412" s="6"/>
      <c r="P412" s="6"/>
      <c r="Q412" s="6"/>
      <c r="R412" s="6"/>
      <c r="S412" s="6"/>
      <c r="T412" s="6"/>
      <c r="U412" s="6"/>
      <c r="V412" s="6"/>
      <c r="W412" s="6"/>
      <c r="X412" s="6"/>
      <c r="Y412" s="6"/>
      <c r="Z412" s="6"/>
      <c r="AA412" s="6"/>
      <c r="AB412" s="6"/>
    </row>
    <row r="413" ht="16.5" customHeight="1">
      <c r="A413" s="6"/>
      <c r="B413" s="6"/>
      <c r="C413" s="6"/>
      <c r="D413" s="6"/>
      <c r="E413" s="6"/>
      <c r="F413" s="6"/>
      <c r="G413" s="6"/>
      <c r="H413" s="93"/>
      <c r="I413" s="93"/>
      <c r="J413" s="93"/>
      <c r="K413" s="93"/>
      <c r="L413" s="93"/>
      <c r="M413" s="6"/>
      <c r="N413" s="6"/>
      <c r="O413" s="6"/>
      <c r="P413" s="6"/>
      <c r="Q413" s="6"/>
      <c r="R413" s="6"/>
      <c r="S413" s="6"/>
      <c r="T413" s="6"/>
      <c r="U413" s="6"/>
      <c r="V413" s="6"/>
      <c r="W413" s="6"/>
      <c r="X413" s="6"/>
      <c r="Y413" s="6"/>
      <c r="Z413" s="6"/>
      <c r="AA413" s="6"/>
      <c r="AB413" s="6"/>
    </row>
    <row r="414" ht="16.5" customHeight="1">
      <c r="A414" s="6"/>
      <c r="B414" s="6"/>
      <c r="C414" s="6"/>
      <c r="D414" s="6"/>
      <c r="E414" s="6"/>
      <c r="F414" s="6"/>
      <c r="G414" s="6"/>
      <c r="H414" s="93"/>
      <c r="I414" s="93"/>
      <c r="J414" s="93"/>
      <c r="K414" s="93"/>
      <c r="L414" s="93"/>
      <c r="M414" s="6"/>
      <c r="N414" s="6"/>
      <c r="O414" s="6"/>
      <c r="P414" s="6"/>
      <c r="Q414" s="6"/>
      <c r="R414" s="6"/>
      <c r="S414" s="6"/>
      <c r="T414" s="6"/>
      <c r="U414" s="6"/>
      <c r="V414" s="6"/>
      <c r="W414" s="6"/>
      <c r="X414" s="6"/>
      <c r="Y414" s="6"/>
      <c r="Z414" s="6"/>
      <c r="AA414" s="6"/>
      <c r="AB414" s="6"/>
    </row>
    <row r="415" ht="16.5" customHeight="1">
      <c r="A415" s="6"/>
      <c r="B415" s="6"/>
      <c r="C415" s="6"/>
      <c r="D415" s="6"/>
      <c r="E415" s="6"/>
      <c r="F415" s="6"/>
      <c r="G415" s="6"/>
      <c r="H415" s="93"/>
      <c r="I415" s="93"/>
      <c r="J415" s="93"/>
      <c r="K415" s="93"/>
      <c r="L415" s="93"/>
      <c r="M415" s="6"/>
      <c r="N415" s="6"/>
      <c r="O415" s="6"/>
      <c r="P415" s="6"/>
      <c r="Q415" s="6"/>
      <c r="R415" s="6"/>
      <c r="S415" s="6"/>
      <c r="T415" s="6"/>
      <c r="U415" s="6"/>
      <c r="V415" s="6"/>
      <c r="W415" s="6"/>
      <c r="X415" s="6"/>
      <c r="Y415" s="6"/>
      <c r="Z415" s="6"/>
      <c r="AA415" s="6"/>
      <c r="AB415" s="6"/>
    </row>
    <row r="416" ht="16.5" customHeight="1">
      <c r="A416" s="6"/>
      <c r="B416" s="6"/>
      <c r="C416" s="6"/>
      <c r="D416" s="6"/>
      <c r="E416" s="6"/>
      <c r="F416" s="6"/>
      <c r="G416" s="6"/>
      <c r="H416" s="93"/>
      <c r="I416" s="93"/>
      <c r="J416" s="93"/>
      <c r="K416" s="93"/>
      <c r="L416" s="93"/>
      <c r="M416" s="6"/>
      <c r="N416" s="6"/>
      <c r="O416" s="6"/>
      <c r="P416" s="6"/>
      <c r="Q416" s="6"/>
      <c r="R416" s="6"/>
      <c r="S416" s="6"/>
      <c r="T416" s="6"/>
      <c r="U416" s="6"/>
      <c r="V416" s="6"/>
      <c r="W416" s="6"/>
      <c r="X416" s="6"/>
      <c r="Y416" s="6"/>
      <c r="Z416" s="6"/>
      <c r="AA416" s="6"/>
      <c r="AB416" s="6"/>
    </row>
    <row r="417" ht="16.5" customHeight="1">
      <c r="A417" s="6"/>
      <c r="B417" s="6"/>
      <c r="C417" s="6"/>
      <c r="D417" s="6"/>
      <c r="E417" s="6"/>
      <c r="F417" s="6"/>
      <c r="G417" s="6"/>
      <c r="H417" s="93"/>
      <c r="I417" s="93"/>
      <c r="J417" s="93"/>
      <c r="K417" s="93"/>
      <c r="L417" s="93"/>
      <c r="M417" s="6"/>
      <c r="N417" s="6"/>
      <c r="O417" s="6"/>
      <c r="P417" s="6"/>
      <c r="Q417" s="6"/>
      <c r="R417" s="6"/>
      <c r="S417" s="6"/>
      <c r="T417" s="6"/>
      <c r="U417" s="6"/>
      <c r="V417" s="6"/>
      <c r="W417" s="6"/>
      <c r="X417" s="6"/>
      <c r="Y417" s="6"/>
      <c r="Z417" s="6"/>
      <c r="AA417" s="6"/>
      <c r="AB417" s="6"/>
    </row>
    <row r="418" ht="16.5" customHeight="1">
      <c r="A418" s="6"/>
      <c r="B418" s="6"/>
      <c r="C418" s="6"/>
      <c r="D418" s="6"/>
      <c r="E418" s="6"/>
      <c r="F418" s="6"/>
      <c r="G418" s="6"/>
      <c r="H418" s="93"/>
      <c r="I418" s="93"/>
      <c r="J418" s="93"/>
      <c r="K418" s="93"/>
      <c r="L418" s="93"/>
      <c r="M418" s="6"/>
      <c r="N418" s="6"/>
      <c r="O418" s="6"/>
      <c r="P418" s="6"/>
      <c r="Q418" s="6"/>
      <c r="R418" s="6"/>
      <c r="S418" s="6"/>
      <c r="T418" s="6"/>
      <c r="U418" s="6"/>
      <c r="V418" s="6"/>
      <c r="W418" s="6"/>
      <c r="X418" s="6"/>
      <c r="Y418" s="6"/>
      <c r="Z418" s="6"/>
      <c r="AA418" s="6"/>
      <c r="AB418" s="6"/>
    </row>
    <row r="419" ht="16.5" customHeight="1">
      <c r="A419" s="6"/>
      <c r="B419" s="6"/>
      <c r="C419" s="6"/>
      <c r="D419" s="6"/>
      <c r="E419" s="6"/>
      <c r="F419" s="6"/>
      <c r="G419" s="6"/>
      <c r="H419" s="93"/>
      <c r="I419" s="93"/>
      <c r="J419" s="93"/>
      <c r="K419" s="93"/>
      <c r="L419" s="93"/>
      <c r="M419" s="6"/>
      <c r="N419" s="6"/>
      <c r="O419" s="6"/>
      <c r="P419" s="6"/>
      <c r="Q419" s="6"/>
      <c r="R419" s="6"/>
      <c r="S419" s="6"/>
      <c r="T419" s="6"/>
      <c r="U419" s="6"/>
      <c r="V419" s="6"/>
      <c r="W419" s="6"/>
      <c r="X419" s="6"/>
      <c r="Y419" s="6"/>
      <c r="Z419" s="6"/>
      <c r="AA419" s="6"/>
      <c r="AB419" s="6"/>
    </row>
    <row r="420" ht="16.5" customHeight="1">
      <c r="A420" s="6"/>
      <c r="B420" s="6"/>
      <c r="C420" s="6"/>
      <c r="D420" s="6"/>
      <c r="E420" s="6"/>
      <c r="F420" s="6"/>
      <c r="G420" s="6"/>
      <c r="H420" s="93"/>
      <c r="I420" s="93"/>
      <c r="J420" s="93"/>
      <c r="K420" s="93"/>
      <c r="L420" s="93"/>
      <c r="M420" s="6"/>
      <c r="N420" s="6"/>
      <c r="O420" s="6"/>
      <c r="P420" s="6"/>
      <c r="Q420" s="6"/>
      <c r="R420" s="6"/>
      <c r="S420" s="6"/>
      <c r="T420" s="6"/>
      <c r="U420" s="6"/>
      <c r="V420" s="6"/>
      <c r="W420" s="6"/>
      <c r="X420" s="6"/>
      <c r="Y420" s="6"/>
      <c r="Z420" s="6"/>
      <c r="AA420" s="6"/>
      <c r="AB420" s="6"/>
    </row>
    <row r="421" ht="16.5" customHeight="1">
      <c r="A421" s="6"/>
      <c r="B421" s="6"/>
      <c r="C421" s="6"/>
      <c r="D421" s="6"/>
      <c r="E421" s="6"/>
      <c r="F421" s="6"/>
      <c r="G421" s="6"/>
      <c r="H421" s="93"/>
      <c r="I421" s="93"/>
      <c r="J421" s="93"/>
      <c r="K421" s="93"/>
      <c r="L421" s="93"/>
      <c r="M421" s="6"/>
      <c r="N421" s="6"/>
      <c r="O421" s="6"/>
      <c r="P421" s="6"/>
      <c r="Q421" s="6"/>
      <c r="R421" s="6"/>
      <c r="S421" s="6"/>
      <c r="T421" s="6"/>
      <c r="U421" s="6"/>
      <c r="V421" s="6"/>
      <c r="W421" s="6"/>
      <c r="X421" s="6"/>
      <c r="Y421" s="6"/>
      <c r="Z421" s="6"/>
      <c r="AA421" s="6"/>
      <c r="AB421" s="6"/>
    </row>
    <row r="422" ht="16.5" customHeight="1">
      <c r="A422" s="6"/>
      <c r="B422" s="6"/>
      <c r="C422" s="6"/>
      <c r="D422" s="6"/>
      <c r="E422" s="6"/>
      <c r="F422" s="6"/>
      <c r="G422" s="6"/>
      <c r="H422" s="93"/>
      <c r="I422" s="93"/>
      <c r="J422" s="93"/>
      <c r="K422" s="93"/>
      <c r="L422" s="93"/>
      <c r="M422" s="6"/>
      <c r="N422" s="6"/>
      <c r="O422" s="6"/>
      <c r="P422" s="6"/>
      <c r="Q422" s="6"/>
      <c r="R422" s="6"/>
      <c r="S422" s="6"/>
      <c r="T422" s="6"/>
      <c r="U422" s="6"/>
      <c r="V422" s="6"/>
      <c r="W422" s="6"/>
      <c r="X422" s="6"/>
      <c r="Y422" s="6"/>
      <c r="Z422" s="6"/>
      <c r="AA422" s="6"/>
      <c r="AB422" s="6"/>
    </row>
    <row r="423" ht="16.5" customHeight="1">
      <c r="A423" s="6"/>
      <c r="B423" s="6"/>
      <c r="C423" s="6"/>
      <c r="D423" s="6"/>
      <c r="E423" s="6"/>
      <c r="F423" s="6"/>
      <c r="G423" s="6"/>
      <c r="H423" s="93"/>
      <c r="I423" s="93"/>
      <c r="J423" s="93"/>
      <c r="K423" s="93"/>
      <c r="L423" s="93"/>
      <c r="M423" s="6"/>
      <c r="N423" s="6"/>
      <c r="O423" s="6"/>
      <c r="P423" s="6"/>
      <c r="Q423" s="6"/>
      <c r="R423" s="6"/>
      <c r="S423" s="6"/>
      <c r="T423" s="6"/>
      <c r="U423" s="6"/>
      <c r="V423" s="6"/>
      <c r="W423" s="6"/>
      <c r="X423" s="6"/>
      <c r="Y423" s="6"/>
      <c r="Z423" s="6"/>
      <c r="AA423" s="6"/>
      <c r="AB423" s="6"/>
    </row>
    <row r="424" ht="16.5" customHeight="1">
      <c r="A424" s="6"/>
      <c r="B424" s="6"/>
      <c r="C424" s="6"/>
      <c r="D424" s="6"/>
      <c r="E424" s="6"/>
      <c r="F424" s="6"/>
      <c r="G424" s="6"/>
      <c r="H424" s="93"/>
      <c r="I424" s="93"/>
      <c r="J424" s="93"/>
      <c r="K424" s="93"/>
      <c r="L424" s="93"/>
      <c r="M424" s="6"/>
      <c r="N424" s="6"/>
      <c r="O424" s="6"/>
      <c r="P424" s="6"/>
      <c r="Q424" s="6"/>
      <c r="R424" s="6"/>
      <c r="S424" s="6"/>
      <c r="T424" s="6"/>
      <c r="U424" s="6"/>
      <c r="V424" s="6"/>
      <c r="W424" s="6"/>
      <c r="X424" s="6"/>
      <c r="Y424" s="6"/>
      <c r="Z424" s="6"/>
      <c r="AA424" s="6"/>
      <c r="AB424" s="6"/>
    </row>
    <row r="425" ht="16.5" customHeight="1">
      <c r="A425" s="6"/>
      <c r="B425" s="6"/>
      <c r="C425" s="6"/>
      <c r="D425" s="6"/>
      <c r="E425" s="6"/>
      <c r="F425" s="6"/>
      <c r="G425" s="6"/>
      <c r="H425" s="93"/>
      <c r="I425" s="93"/>
      <c r="J425" s="93"/>
      <c r="K425" s="93"/>
      <c r="L425" s="93"/>
      <c r="M425" s="6"/>
      <c r="N425" s="6"/>
      <c r="O425" s="6"/>
      <c r="P425" s="6"/>
      <c r="Q425" s="6"/>
      <c r="R425" s="6"/>
      <c r="S425" s="6"/>
      <c r="T425" s="6"/>
      <c r="U425" s="6"/>
      <c r="V425" s="6"/>
      <c r="W425" s="6"/>
      <c r="X425" s="6"/>
      <c r="Y425" s="6"/>
      <c r="Z425" s="6"/>
      <c r="AA425" s="6"/>
      <c r="AB425" s="6"/>
    </row>
    <row r="426" ht="16.5" customHeight="1">
      <c r="A426" s="6"/>
      <c r="B426" s="6"/>
      <c r="C426" s="6"/>
      <c r="D426" s="6"/>
      <c r="E426" s="6"/>
      <c r="F426" s="6"/>
      <c r="G426" s="6"/>
      <c r="H426" s="93"/>
      <c r="I426" s="93"/>
      <c r="J426" s="93"/>
      <c r="K426" s="93"/>
      <c r="L426" s="93"/>
      <c r="M426" s="6"/>
      <c r="N426" s="6"/>
      <c r="O426" s="6"/>
      <c r="P426" s="6"/>
      <c r="Q426" s="6"/>
      <c r="R426" s="6"/>
      <c r="S426" s="6"/>
      <c r="T426" s="6"/>
      <c r="U426" s="6"/>
      <c r="V426" s="6"/>
      <c r="W426" s="6"/>
      <c r="X426" s="6"/>
      <c r="Y426" s="6"/>
      <c r="Z426" s="6"/>
      <c r="AA426" s="6"/>
      <c r="AB426" s="6"/>
    </row>
    <row r="427" ht="16.5" customHeight="1">
      <c r="A427" s="6"/>
      <c r="B427" s="6"/>
      <c r="C427" s="6"/>
      <c r="D427" s="6"/>
      <c r="E427" s="6"/>
      <c r="F427" s="6"/>
      <c r="G427" s="6"/>
      <c r="H427" s="93"/>
      <c r="I427" s="93"/>
      <c r="J427" s="93"/>
      <c r="K427" s="93"/>
      <c r="L427" s="93"/>
      <c r="M427" s="6"/>
      <c r="N427" s="6"/>
      <c r="O427" s="6"/>
      <c r="P427" s="6"/>
      <c r="Q427" s="6"/>
      <c r="R427" s="6"/>
      <c r="S427" s="6"/>
      <c r="T427" s="6"/>
      <c r="U427" s="6"/>
      <c r="V427" s="6"/>
      <c r="W427" s="6"/>
      <c r="X427" s="6"/>
      <c r="Y427" s="6"/>
      <c r="Z427" s="6"/>
      <c r="AA427" s="6"/>
      <c r="AB427" s="6"/>
    </row>
    <row r="428" ht="16.5" customHeight="1">
      <c r="A428" s="6"/>
      <c r="B428" s="6"/>
      <c r="C428" s="6"/>
      <c r="D428" s="6"/>
      <c r="E428" s="6"/>
      <c r="F428" s="6"/>
      <c r="G428" s="6"/>
      <c r="H428" s="93"/>
      <c r="I428" s="93"/>
      <c r="J428" s="93"/>
      <c r="K428" s="93"/>
      <c r="L428" s="93"/>
      <c r="M428" s="6"/>
      <c r="N428" s="6"/>
      <c r="O428" s="6"/>
      <c r="P428" s="6"/>
      <c r="Q428" s="6"/>
      <c r="R428" s="6"/>
      <c r="S428" s="6"/>
      <c r="T428" s="6"/>
      <c r="U428" s="6"/>
      <c r="V428" s="6"/>
      <c r="W428" s="6"/>
      <c r="X428" s="6"/>
      <c r="Y428" s="6"/>
      <c r="Z428" s="6"/>
      <c r="AA428" s="6"/>
      <c r="AB428" s="6"/>
    </row>
    <row r="429" ht="16.5" customHeight="1">
      <c r="A429" s="6"/>
      <c r="B429" s="6"/>
      <c r="C429" s="6"/>
      <c r="D429" s="6"/>
      <c r="E429" s="6"/>
      <c r="F429" s="6"/>
      <c r="G429" s="6"/>
      <c r="H429" s="93"/>
      <c r="I429" s="93"/>
      <c r="J429" s="93"/>
      <c r="K429" s="93"/>
      <c r="L429" s="93"/>
      <c r="M429" s="6"/>
      <c r="N429" s="6"/>
      <c r="O429" s="6"/>
      <c r="P429" s="6"/>
      <c r="Q429" s="6"/>
      <c r="R429" s="6"/>
      <c r="S429" s="6"/>
      <c r="T429" s="6"/>
      <c r="U429" s="6"/>
      <c r="V429" s="6"/>
      <c r="W429" s="6"/>
      <c r="X429" s="6"/>
      <c r="Y429" s="6"/>
      <c r="Z429" s="6"/>
      <c r="AA429" s="6"/>
      <c r="AB429" s="6"/>
    </row>
    <row r="430" ht="16.5" customHeight="1">
      <c r="A430" s="6"/>
      <c r="B430" s="6"/>
      <c r="C430" s="6"/>
      <c r="D430" s="6"/>
      <c r="E430" s="6"/>
      <c r="F430" s="6"/>
      <c r="G430" s="6"/>
      <c r="H430" s="93"/>
      <c r="I430" s="93"/>
      <c r="J430" s="93"/>
      <c r="K430" s="93"/>
      <c r="L430" s="93"/>
      <c r="M430" s="6"/>
      <c r="N430" s="6"/>
      <c r="O430" s="6"/>
      <c r="P430" s="6"/>
      <c r="Q430" s="6"/>
      <c r="R430" s="6"/>
      <c r="S430" s="6"/>
      <c r="T430" s="6"/>
      <c r="U430" s="6"/>
      <c r="V430" s="6"/>
      <c r="W430" s="6"/>
      <c r="X430" s="6"/>
      <c r="Y430" s="6"/>
      <c r="Z430" s="6"/>
      <c r="AA430" s="6"/>
      <c r="AB430" s="6"/>
    </row>
    <row r="431" ht="16.5" customHeight="1">
      <c r="A431" s="6"/>
      <c r="B431" s="6"/>
      <c r="C431" s="6"/>
      <c r="D431" s="6"/>
      <c r="E431" s="6"/>
      <c r="F431" s="6"/>
      <c r="G431" s="6"/>
      <c r="H431" s="93"/>
      <c r="I431" s="93"/>
      <c r="J431" s="93"/>
      <c r="K431" s="93"/>
      <c r="L431" s="93"/>
      <c r="M431" s="6"/>
      <c r="N431" s="6"/>
      <c r="O431" s="6"/>
      <c r="P431" s="6"/>
      <c r="Q431" s="6"/>
      <c r="R431" s="6"/>
      <c r="S431" s="6"/>
      <c r="T431" s="6"/>
      <c r="U431" s="6"/>
      <c r="V431" s="6"/>
      <c r="W431" s="6"/>
      <c r="X431" s="6"/>
      <c r="Y431" s="6"/>
      <c r="Z431" s="6"/>
      <c r="AA431" s="6"/>
      <c r="AB431" s="6"/>
    </row>
    <row r="432" ht="16.5" customHeight="1">
      <c r="A432" s="6"/>
      <c r="B432" s="6"/>
      <c r="C432" s="6"/>
      <c r="D432" s="6"/>
      <c r="E432" s="6"/>
      <c r="F432" s="6"/>
      <c r="G432" s="6"/>
      <c r="H432" s="93"/>
      <c r="I432" s="93"/>
      <c r="J432" s="93"/>
      <c r="K432" s="93"/>
      <c r="L432" s="93"/>
      <c r="M432" s="6"/>
      <c r="N432" s="6"/>
      <c r="O432" s="6"/>
      <c r="P432" s="6"/>
      <c r="Q432" s="6"/>
      <c r="R432" s="6"/>
      <c r="S432" s="6"/>
      <c r="T432" s="6"/>
      <c r="U432" s="6"/>
      <c r="V432" s="6"/>
      <c r="W432" s="6"/>
      <c r="X432" s="6"/>
      <c r="Y432" s="6"/>
      <c r="Z432" s="6"/>
      <c r="AA432" s="6"/>
      <c r="AB432" s="6"/>
    </row>
    <row r="433" ht="16.5" customHeight="1">
      <c r="A433" s="6"/>
      <c r="B433" s="6"/>
      <c r="C433" s="6"/>
      <c r="D433" s="6"/>
      <c r="E433" s="6"/>
      <c r="F433" s="6"/>
      <c r="G433" s="6"/>
      <c r="H433" s="93"/>
      <c r="I433" s="93"/>
      <c r="J433" s="93"/>
      <c r="K433" s="93"/>
      <c r="L433" s="93"/>
      <c r="M433" s="6"/>
      <c r="N433" s="6"/>
      <c r="O433" s="6"/>
      <c r="P433" s="6"/>
      <c r="Q433" s="6"/>
      <c r="R433" s="6"/>
      <c r="S433" s="6"/>
      <c r="T433" s="6"/>
      <c r="U433" s="6"/>
      <c r="V433" s="6"/>
      <c r="W433" s="6"/>
      <c r="X433" s="6"/>
      <c r="Y433" s="6"/>
      <c r="Z433" s="6"/>
      <c r="AA433" s="6"/>
      <c r="AB433" s="6"/>
    </row>
    <row r="434" ht="16.5" customHeight="1">
      <c r="A434" s="6"/>
      <c r="B434" s="6"/>
      <c r="C434" s="6"/>
      <c r="D434" s="6"/>
      <c r="E434" s="6"/>
      <c r="F434" s="6"/>
      <c r="G434" s="6"/>
      <c r="H434" s="93"/>
      <c r="I434" s="93"/>
      <c r="J434" s="93"/>
      <c r="K434" s="93"/>
      <c r="L434" s="93"/>
      <c r="M434" s="6"/>
      <c r="N434" s="6"/>
      <c r="O434" s="6"/>
      <c r="P434" s="6"/>
      <c r="Q434" s="6"/>
      <c r="R434" s="6"/>
      <c r="S434" s="6"/>
      <c r="T434" s="6"/>
      <c r="U434" s="6"/>
      <c r="V434" s="6"/>
      <c r="W434" s="6"/>
      <c r="X434" s="6"/>
      <c r="Y434" s="6"/>
      <c r="Z434" s="6"/>
      <c r="AA434" s="6"/>
      <c r="AB434" s="6"/>
    </row>
    <row r="435" ht="16.5" customHeight="1">
      <c r="A435" s="6"/>
      <c r="B435" s="6"/>
      <c r="C435" s="6"/>
      <c r="D435" s="6"/>
      <c r="E435" s="6"/>
      <c r="F435" s="6"/>
      <c r="G435" s="6"/>
      <c r="H435" s="93"/>
      <c r="I435" s="93"/>
      <c r="J435" s="93"/>
      <c r="K435" s="93"/>
      <c r="L435" s="93"/>
      <c r="M435" s="6"/>
      <c r="N435" s="6"/>
      <c r="O435" s="6"/>
      <c r="P435" s="6"/>
      <c r="Q435" s="6"/>
      <c r="R435" s="6"/>
      <c r="S435" s="6"/>
      <c r="T435" s="6"/>
      <c r="U435" s="6"/>
      <c r="V435" s="6"/>
      <c r="W435" s="6"/>
      <c r="X435" s="6"/>
      <c r="Y435" s="6"/>
      <c r="Z435" s="6"/>
      <c r="AA435" s="6"/>
      <c r="AB435" s="6"/>
    </row>
    <row r="436" ht="16.5" customHeight="1">
      <c r="A436" s="6"/>
      <c r="B436" s="6"/>
      <c r="C436" s="6"/>
      <c r="D436" s="6"/>
      <c r="E436" s="6"/>
      <c r="F436" s="6"/>
      <c r="G436" s="6"/>
      <c r="H436" s="93"/>
      <c r="I436" s="93"/>
      <c r="J436" s="93"/>
      <c r="K436" s="93"/>
      <c r="L436" s="93"/>
      <c r="M436" s="6"/>
      <c r="N436" s="6"/>
      <c r="O436" s="6"/>
      <c r="P436" s="6"/>
      <c r="Q436" s="6"/>
      <c r="R436" s="6"/>
      <c r="S436" s="6"/>
      <c r="T436" s="6"/>
      <c r="U436" s="6"/>
      <c r="V436" s="6"/>
      <c r="W436" s="6"/>
      <c r="X436" s="6"/>
      <c r="Y436" s="6"/>
      <c r="Z436" s="6"/>
      <c r="AA436" s="6"/>
      <c r="AB436" s="6"/>
    </row>
    <row r="437" ht="16.5" customHeight="1">
      <c r="A437" s="6"/>
      <c r="B437" s="6"/>
      <c r="C437" s="6"/>
      <c r="D437" s="6"/>
      <c r="E437" s="6"/>
      <c r="F437" s="6"/>
      <c r="G437" s="6"/>
      <c r="H437" s="93"/>
      <c r="I437" s="93"/>
      <c r="J437" s="93"/>
      <c r="K437" s="93"/>
      <c r="L437" s="93"/>
      <c r="M437" s="6"/>
      <c r="N437" s="6"/>
      <c r="O437" s="6"/>
      <c r="P437" s="6"/>
      <c r="Q437" s="6"/>
      <c r="R437" s="6"/>
      <c r="S437" s="6"/>
      <c r="T437" s="6"/>
      <c r="U437" s="6"/>
      <c r="V437" s="6"/>
      <c r="W437" s="6"/>
      <c r="X437" s="6"/>
      <c r="Y437" s="6"/>
      <c r="Z437" s="6"/>
      <c r="AA437" s="6"/>
      <c r="AB437" s="6"/>
    </row>
    <row r="438" ht="16.5" customHeight="1">
      <c r="A438" s="6"/>
      <c r="B438" s="6"/>
      <c r="C438" s="6"/>
      <c r="D438" s="6"/>
      <c r="E438" s="6"/>
      <c r="F438" s="6"/>
      <c r="G438" s="6"/>
      <c r="H438" s="93"/>
      <c r="I438" s="93"/>
      <c r="J438" s="93"/>
      <c r="K438" s="93"/>
      <c r="L438" s="93"/>
      <c r="M438" s="6"/>
      <c r="N438" s="6"/>
      <c r="O438" s="6"/>
      <c r="P438" s="6"/>
      <c r="Q438" s="6"/>
      <c r="R438" s="6"/>
      <c r="S438" s="6"/>
      <c r="T438" s="6"/>
      <c r="U438" s="6"/>
      <c r="V438" s="6"/>
      <c r="W438" s="6"/>
      <c r="X438" s="6"/>
      <c r="Y438" s="6"/>
      <c r="Z438" s="6"/>
      <c r="AA438" s="6"/>
      <c r="AB438" s="6"/>
    </row>
    <row r="439" ht="16.5" customHeight="1">
      <c r="A439" s="6"/>
      <c r="B439" s="6"/>
      <c r="C439" s="6"/>
      <c r="D439" s="6"/>
      <c r="E439" s="6"/>
      <c r="F439" s="6"/>
      <c r="G439" s="6"/>
      <c r="H439" s="93"/>
      <c r="I439" s="93"/>
      <c r="J439" s="93"/>
      <c r="K439" s="93"/>
      <c r="L439" s="93"/>
      <c r="M439" s="6"/>
      <c r="N439" s="6"/>
      <c r="O439" s="6"/>
      <c r="P439" s="6"/>
      <c r="Q439" s="6"/>
      <c r="R439" s="6"/>
      <c r="S439" s="6"/>
      <c r="T439" s="6"/>
      <c r="U439" s="6"/>
      <c r="V439" s="6"/>
      <c r="W439" s="6"/>
      <c r="X439" s="6"/>
      <c r="Y439" s="6"/>
      <c r="Z439" s="6"/>
      <c r="AA439" s="6"/>
      <c r="AB439" s="6"/>
    </row>
    <row r="440" ht="16.5" customHeight="1">
      <c r="A440" s="6"/>
      <c r="B440" s="6"/>
      <c r="C440" s="6"/>
      <c r="D440" s="6"/>
      <c r="E440" s="6"/>
      <c r="F440" s="6"/>
      <c r="G440" s="6"/>
      <c r="H440" s="93"/>
      <c r="I440" s="93"/>
      <c r="J440" s="93"/>
      <c r="K440" s="93"/>
      <c r="L440" s="93"/>
      <c r="M440" s="6"/>
      <c r="N440" s="6"/>
      <c r="O440" s="6"/>
      <c r="P440" s="6"/>
      <c r="Q440" s="6"/>
      <c r="R440" s="6"/>
      <c r="S440" s="6"/>
      <c r="T440" s="6"/>
      <c r="U440" s="6"/>
      <c r="V440" s="6"/>
      <c r="W440" s="6"/>
      <c r="X440" s="6"/>
      <c r="Y440" s="6"/>
      <c r="Z440" s="6"/>
      <c r="AA440" s="6"/>
      <c r="AB440" s="6"/>
    </row>
    <row r="441" ht="16.5" customHeight="1">
      <c r="A441" s="6"/>
      <c r="B441" s="6"/>
      <c r="C441" s="6"/>
      <c r="D441" s="6"/>
      <c r="E441" s="6"/>
      <c r="F441" s="6"/>
      <c r="G441" s="6"/>
      <c r="H441" s="93"/>
      <c r="I441" s="93"/>
      <c r="J441" s="93"/>
      <c r="K441" s="93"/>
      <c r="L441" s="93"/>
      <c r="M441" s="6"/>
      <c r="N441" s="6"/>
      <c r="O441" s="6"/>
      <c r="P441" s="6"/>
      <c r="Q441" s="6"/>
      <c r="R441" s="6"/>
      <c r="S441" s="6"/>
      <c r="T441" s="6"/>
      <c r="U441" s="6"/>
      <c r="V441" s="6"/>
      <c r="W441" s="6"/>
      <c r="X441" s="6"/>
      <c r="Y441" s="6"/>
      <c r="Z441" s="6"/>
      <c r="AA441" s="6"/>
      <c r="AB441" s="6"/>
    </row>
    <row r="442" ht="16.5" customHeight="1">
      <c r="A442" s="6"/>
      <c r="B442" s="6"/>
      <c r="C442" s="6"/>
      <c r="D442" s="6"/>
      <c r="E442" s="6"/>
      <c r="F442" s="6"/>
      <c r="G442" s="6"/>
      <c r="H442" s="93"/>
      <c r="I442" s="93"/>
      <c r="J442" s="93"/>
      <c r="K442" s="93"/>
      <c r="L442" s="93"/>
      <c r="M442" s="6"/>
      <c r="N442" s="6"/>
      <c r="O442" s="6"/>
      <c r="P442" s="6"/>
      <c r="Q442" s="6"/>
      <c r="R442" s="6"/>
      <c r="S442" s="6"/>
      <c r="T442" s="6"/>
      <c r="U442" s="6"/>
      <c r="V442" s="6"/>
      <c r="W442" s="6"/>
      <c r="X442" s="6"/>
      <c r="Y442" s="6"/>
      <c r="Z442" s="6"/>
      <c r="AA442" s="6"/>
      <c r="AB442" s="6"/>
    </row>
    <row r="443" ht="16.5" customHeight="1">
      <c r="A443" s="6"/>
      <c r="B443" s="6"/>
      <c r="C443" s="6"/>
      <c r="D443" s="6"/>
      <c r="E443" s="6"/>
      <c r="F443" s="6"/>
      <c r="G443" s="6"/>
      <c r="H443" s="93"/>
      <c r="I443" s="93"/>
      <c r="J443" s="93"/>
      <c r="K443" s="93"/>
      <c r="L443" s="93"/>
      <c r="M443" s="6"/>
      <c r="N443" s="6"/>
      <c r="O443" s="6"/>
      <c r="P443" s="6"/>
      <c r="Q443" s="6"/>
      <c r="R443" s="6"/>
      <c r="S443" s="6"/>
      <c r="T443" s="6"/>
      <c r="U443" s="6"/>
      <c r="V443" s="6"/>
      <c r="W443" s="6"/>
      <c r="X443" s="6"/>
      <c r="Y443" s="6"/>
      <c r="Z443" s="6"/>
      <c r="AA443" s="6"/>
      <c r="AB443" s="6"/>
    </row>
    <row r="444" ht="16.5" customHeight="1">
      <c r="A444" s="6"/>
      <c r="B444" s="6"/>
      <c r="C444" s="6"/>
      <c r="D444" s="6"/>
      <c r="E444" s="6"/>
      <c r="F444" s="6"/>
      <c r="G444" s="6"/>
      <c r="H444" s="93"/>
      <c r="I444" s="93"/>
      <c r="J444" s="93"/>
      <c r="K444" s="93"/>
      <c r="L444" s="93"/>
      <c r="M444" s="6"/>
      <c r="N444" s="6"/>
      <c r="O444" s="6"/>
      <c r="P444" s="6"/>
      <c r="Q444" s="6"/>
      <c r="R444" s="6"/>
      <c r="S444" s="6"/>
      <c r="T444" s="6"/>
      <c r="U444" s="6"/>
      <c r="V444" s="6"/>
      <c r="W444" s="6"/>
      <c r="X444" s="6"/>
      <c r="Y444" s="6"/>
      <c r="Z444" s="6"/>
      <c r="AA444" s="6"/>
      <c r="AB444" s="6"/>
    </row>
    <row r="445" ht="16.5" customHeight="1">
      <c r="A445" s="6"/>
      <c r="B445" s="6"/>
      <c r="C445" s="6"/>
      <c r="D445" s="6"/>
      <c r="E445" s="6"/>
      <c r="F445" s="6"/>
      <c r="G445" s="6"/>
      <c r="H445" s="93"/>
      <c r="I445" s="93"/>
      <c r="J445" s="93"/>
      <c r="K445" s="93"/>
      <c r="L445" s="93"/>
      <c r="M445" s="6"/>
      <c r="N445" s="6"/>
      <c r="O445" s="6"/>
      <c r="P445" s="6"/>
      <c r="Q445" s="6"/>
      <c r="R445" s="6"/>
      <c r="S445" s="6"/>
      <c r="T445" s="6"/>
      <c r="U445" s="6"/>
      <c r="V445" s="6"/>
      <c r="W445" s="6"/>
      <c r="X445" s="6"/>
      <c r="Y445" s="6"/>
      <c r="Z445" s="6"/>
      <c r="AA445" s="6"/>
      <c r="AB445" s="6"/>
    </row>
    <row r="446" ht="16.5" customHeight="1">
      <c r="A446" s="6"/>
      <c r="B446" s="6"/>
      <c r="C446" s="6"/>
      <c r="D446" s="6"/>
      <c r="E446" s="6"/>
      <c r="F446" s="6"/>
      <c r="G446" s="6"/>
      <c r="H446" s="93"/>
      <c r="I446" s="93"/>
      <c r="J446" s="93"/>
      <c r="K446" s="93"/>
      <c r="L446" s="93"/>
      <c r="M446" s="6"/>
      <c r="N446" s="6"/>
      <c r="O446" s="6"/>
      <c r="P446" s="6"/>
      <c r="Q446" s="6"/>
      <c r="R446" s="6"/>
      <c r="S446" s="6"/>
      <c r="T446" s="6"/>
      <c r="U446" s="6"/>
      <c r="V446" s="6"/>
      <c r="W446" s="6"/>
      <c r="X446" s="6"/>
      <c r="Y446" s="6"/>
      <c r="Z446" s="6"/>
      <c r="AA446" s="6"/>
      <c r="AB446" s="6"/>
    </row>
    <row r="447" ht="16.5" customHeight="1">
      <c r="A447" s="6"/>
      <c r="B447" s="6"/>
      <c r="C447" s="6"/>
      <c r="D447" s="6"/>
      <c r="E447" s="6"/>
      <c r="F447" s="6"/>
      <c r="G447" s="6"/>
      <c r="H447" s="93"/>
      <c r="I447" s="93"/>
      <c r="J447" s="93"/>
      <c r="K447" s="93"/>
      <c r="L447" s="93"/>
      <c r="M447" s="6"/>
      <c r="N447" s="6"/>
      <c r="O447" s="6"/>
      <c r="P447" s="6"/>
      <c r="Q447" s="6"/>
      <c r="R447" s="6"/>
      <c r="S447" s="6"/>
      <c r="T447" s="6"/>
      <c r="U447" s="6"/>
      <c r="V447" s="6"/>
      <c r="W447" s="6"/>
      <c r="X447" s="6"/>
      <c r="Y447" s="6"/>
      <c r="Z447" s="6"/>
      <c r="AA447" s="6"/>
      <c r="AB447" s="6"/>
    </row>
    <row r="448" ht="16.5" customHeight="1">
      <c r="A448" s="6"/>
      <c r="B448" s="6"/>
      <c r="C448" s="6"/>
      <c r="D448" s="6"/>
      <c r="E448" s="6"/>
      <c r="F448" s="6"/>
      <c r="G448" s="6"/>
      <c r="H448" s="93"/>
      <c r="I448" s="93"/>
      <c r="J448" s="93"/>
      <c r="K448" s="93"/>
      <c r="L448" s="93"/>
      <c r="M448" s="6"/>
      <c r="N448" s="6"/>
      <c r="O448" s="6"/>
      <c r="P448" s="6"/>
      <c r="Q448" s="6"/>
      <c r="R448" s="6"/>
      <c r="S448" s="6"/>
      <c r="T448" s="6"/>
      <c r="U448" s="6"/>
      <c r="V448" s="6"/>
      <c r="W448" s="6"/>
      <c r="X448" s="6"/>
      <c r="Y448" s="6"/>
      <c r="Z448" s="6"/>
      <c r="AA448" s="6"/>
      <c r="AB448" s="6"/>
    </row>
    <row r="449" ht="16.5" customHeight="1">
      <c r="A449" s="6"/>
      <c r="B449" s="6"/>
      <c r="C449" s="6"/>
      <c r="D449" s="6"/>
      <c r="E449" s="6"/>
      <c r="F449" s="6"/>
      <c r="G449" s="6"/>
      <c r="H449" s="93"/>
      <c r="I449" s="93"/>
      <c r="J449" s="93"/>
      <c r="K449" s="93"/>
      <c r="L449" s="93"/>
      <c r="M449" s="6"/>
      <c r="N449" s="6"/>
      <c r="O449" s="6"/>
      <c r="P449" s="6"/>
      <c r="Q449" s="6"/>
      <c r="R449" s="6"/>
      <c r="S449" s="6"/>
      <c r="T449" s="6"/>
      <c r="U449" s="6"/>
      <c r="V449" s="6"/>
      <c r="W449" s="6"/>
      <c r="X449" s="6"/>
      <c r="Y449" s="6"/>
      <c r="Z449" s="6"/>
      <c r="AA449" s="6"/>
      <c r="AB449" s="6"/>
    </row>
    <row r="450" ht="16.5" customHeight="1">
      <c r="A450" s="6"/>
      <c r="B450" s="6"/>
      <c r="C450" s="6"/>
      <c r="D450" s="6"/>
      <c r="E450" s="6"/>
      <c r="F450" s="6"/>
      <c r="G450" s="6"/>
      <c r="H450" s="93"/>
      <c r="I450" s="93"/>
      <c r="J450" s="93"/>
      <c r="K450" s="93"/>
      <c r="L450" s="93"/>
      <c r="M450" s="6"/>
      <c r="N450" s="6"/>
      <c r="O450" s="6"/>
      <c r="P450" s="6"/>
      <c r="Q450" s="6"/>
      <c r="R450" s="6"/>
      <c r="S450" s="6"/>
      <c r="T450" s="6"/>
      <c r="U450" s="6"/>
      <c r="V450" s="6"/>
      <c r="W450" s="6"/>
      <c r="X450" s="6"/>
      <c r="Y450" s="6"/>
      <c r="Z450" s="6"/>
      <c r="AA450" s="6"/>
      <c r="AB450" s="6"/>
    </row>
    <row r="451" ht="16.5" customHeight="1">
      <c r="A451" s="6"/>
      <c r="B451" s="6"/>
      <c r="C451" s="6"/>
      <c r="D451" s="6"/>
      <c r="E451" s="6"/>
      <c r="F451" s="6"/>
      <c r="G451" s="6"/>
      <c r="H451" s="93"/>
      <c r="I451" s="93"/>
      <c r="J451" s="93"/>
      <c r="K451" s="93"/>
      <c r="L451" s="93"/>
      <c r="M451" s="6"/>
      <c r="N451" s="6"/>
      <c r="O451" s="6"/>
      <c r="P451" s="6"/>
      <c r="Q451" s="6"/>
      <c r="R451" s="6"/>
      <c r="S451" s="6"/>
      <c r="T451" s="6"/>
      <c r="U451" s="6"/>
      <c r="V451" s="6"/>
      <c r="W451" s="6"/>
      <c r="X451" s="6"/>
      <c r="Y451" s="6"/>
      <c r="Z451" s="6"/>
      <c r="AA451" s="6"/>
      <c r="AB451" s="6"/>
    </row>
    <row r="452" ht="16.5" customHeight="1">
      <c r="A452" s="6"/>
      <c r="B452" s="6"/>
      <c r="C452" s="6"/>
      <c r="D452" s="6"/>
      <c r="E452" s="6"/>
      <c r="F452" s="6"/>
      <c r="G452" s="6"/>
      <c r="H452" s="93"/>
      <c r="I452" s="93"/>
      <c r="J452" s="93"/>
      <c r="K452" s="93"/>
      <c r="L452" s="93"/>
      <c r="M452" s="6"/>
      <c r="N452" s="6"/>
      <c r="O452" s="6"/>
      <c r="P452" s="6"/>
      <c r="Q452" s="6"/>
      <c r="R452" s="6"/>
      <c r="S452" s="6"/>
      <c r="T452" s="6"/>
      <c r="U452" s="6"/>
      <c r="V452" s="6"/>
      <c r="W452" s="6"/>
      <c r="X452" s="6"/>
      <c r="Y452" s="6"/>
      <c r="Z452" s="6"/>
      <c r="AA452" s="6"/>
      <c r="AB452" s="6"/>
    </row>
    <row r="453" ht="16.5" customHeight="1">
      <c r="A453" s="6"/>
      <c r="B453" s="6"/>
      <c r="C453" s="6"/>
      <c r="D453" s="6"/>
      <c r="E453" s="6"/>
      <c r="F453" s="6"/>
      <c r="G453" s="6"/>
      <c r="H453" s="93"/>
      <c r="I453" s="93"/>
      <c r="J453" s="93"/>
      <c r="K453" s="93"/>
      <c r="L453" s="93"/>
      <c r="M453" s="6"/>
      <c r="N453" s="6"/>
      <c r="O453" s="6"/>
      <c r="P453" s="6"/>
      <c r="Q453" s="6"/>
      <c r="R453" s="6"/>
      <c r="S453" s="6"/>
      <c r="T453" s="6"/>
      <c r="U453" s="6"/>
      <c r="V453" s="6"/>
      <c r="W453" s="6"/>
      <c r="X453" s="6"/>
      <c r="Y453" s="6"/>
      <c r="Z453" s="6"/>
      <c r="AA453" s="6"/>
      <c r="AB453" s="6"/>
    </row>
    <row r="454" ht="16.5" customHeight="1">
      <c r="A454" s="6"/>
      <c r="B454" s="6"/>
      <c r="C454" s="6"/>
      <c r="D454" s="6"/>
      <c r="E454" s="6"/>
      <c r="F454" s="6"/>
      <c r="G454" s="6"/>
      <c r="H454" s="93"/>
      <c r="I454" s="93"/>
      <c r="J454" s="93"/>
      <c r="K454" s="93"/>
      <c r="L454" s="93"/>
      <c r="M454" s="6"/>
      <c r="N454" s="6"/>
      <c r="O454" s="6"/>
      <c r="P454" s="6"/>
      <c r="Q454" s="6"/>
      <c r="R454" s="6"/>
      <c r="S454" s="6"/>
      <c r="T454" s="6"/>
      <c r="U454" s="6"/>
      <c r="V454" s="6"/>
      <c r="W454" s="6"/>
      <c r="X454" s="6"/>
      <c r="Y454" s="6"/>
      <c r="Z454" s="6"/>
      <c r="AA454" s="6"/>
      <c r="AB454" s="6"/>
    </row>
    <row r="455" ht="16.5" customHeight="1">
      <c r="A455" s="6"/>
      <c r="B455" s="6"/>
      <c r="C455" s="6"/>
      <c r="D455" s="6"/>
      <c r="E455" s="6"/>
      <c r="F455" s="6"/>
      <c r="G455" s="6"/>
      <c r="H455" s="93"/>
      <c r="I455" s="93"/>
      <c r="J455" s="93"/>
      <c r="K455" s="93"/>
      <c r="L455" s="93"/>
      <c r="M455" s="6"/>
      <c r="N455" s="6"/>
      <c r="O455" s="6"/>
      <c r="P455" s="6"/>
      <c r="Q455" s="6"/>
      <c r="R455" s="6"/>
      <c r="S455" s="6"/>
      <c r="T455" s="6"/>
      <c r="U455" s="6"/>
      <c r="V455" s="6"/>
      <c r="W455" s="6"/>
      <c r="X455" s="6"/>
      <c r="Y455" s="6"/>
      <c r="Z455" s="6"/>
      <c r="AA455" s="6"/>
      <c r="AB455" s="6"/>
    </row>
    <row r="456" ht="16.5" customHeight="1">
      <c r="A456" s="6"/>
      <c r="B456" s="6"/>
      <c r="C456" s="6"/>
      <c r="D456" s="6"/>
      <c r="E456" s="6"/>
      <c r="F456" s="6"/>
      <c r="G456" s="6"/>
      <c r="H456" s="93"/>
      <c r="I456" s="93"/>
      <c r="J456" s="93"/>
      <c r="K456" s="93"/>
      <c r="L456" s="93"/>
      <c r="M456" s="6"/>
      <c r="N456" s="6"/>
      <c r="O456" s="6"/>
      <c r="P456" s="6"/>
      <c r="Q456" s="6"/>
      <c r="R456" s="6"/>
      <c r="S456" s="6"/>
      <c r="T456" s="6"/>
      <c r="U456" s="6"/>
      <c r="V456" s="6"/>
      <c r="W456" s="6"/>
      <c r="X456" s="6"/>
      <c r="Y456" s="6"/>
      <c r="Z456" s="6"/>
      <c r="AA456" s="6"/>
      <c r="AB456" s="6"/>
    </row>
    <row r="457" ht="16.5" customHeight="1">
      <c r="A457" s="6"/>
      <c r="B457" s="6"/>
      <c r="C457" s="6"/>
      <c r="D457" s="6"/>
      <c r="E457" s="6"/>
      <c r="F457" s="6"/>
      <c r="G457" s="6"/>
      <c r="H457" s="93"/>
      <c r="I457" s="93"/>
      <c r="J457" s="93"/>
      <c r="K457" s="93"/>
      <c r="L457" s="93"/>
      <c r="M457" s="6"/>
      <c r="N457" s="6"/>
      <c r="O457" s="6"/>
      <c r="P457" s="6"/>
      <c r="Q457" s="6"/>
      <c r="R457" s="6"/>
      <c r="S457" s="6"/>
      <c r="T457" s="6"/>
      <c r="U457" s="6"/>
      <c r="V457" s="6"/>
      <c r="W457" s="6"/>
      <c r="X457" s="6"/>
      <c r="Y457" s="6"/>
      <c r="Z457" s="6"/>
      <c r="AA457" s="6"/>
      <c r="AB457" s="6"/>
    </row>
    <row r="458" ht="16.5" customHeight="1">
      <c r="A458" s="6"/>
      <c r="B458" s="6"/>
      <c r="C458" s="6"/>
      <c r="D458" s="6"/>
      <c r="E458" s="6"/>
      <c r="F458" s="6"/>
      <c r="G458" s="6"/>
      <c r="H458" s="93"/>
      <c r="I458" s="93"/>
      <c r="J458" s="93"/>
      <c r="K458" s="93"/>
      <c r="L458" s="93"/>
      <c r="M458" s="6"/>
      <c r="N458" s="6"/>
      <c r="O458" s="6"/>
      <c r="P458" s="6"/>
      <c r="Q458" s="6"/>
      <c r="R458" s="6"/>
      <c r="S458" s="6"/>
      <c r="T458" s="6"/>
      <c r="U458" s="6"/>
      <c r="V458" s="6"/>
      <c r="W458" s="6"/>
      <c r="X458" s="6"/>
      <c r="Y458" s="6"/>
      <c r="Z458" s="6"/>
      <c r="AA458" s="6"/>
      <c r="AB458" s="6"/>
    </row>
    <row r="459" ht="16.5" customHeight="1">
      <c r="A459" s="6"/>
      <c r="B459" s="6"/>
      <c r="C459" s="6"/>
      <c r="D459" s="6"/>
      <c r="E459" s="6"/>
      <c r="F459" s="6"/>
      <c r="G459" s="6"/>
      <c r="H459" s="93"/>
      <c r="I459" s="93"/>
      <c r="J459" s="93"/>
      <c r="K459" s="93"/>
      <c r="L459" s="93"/>
      <c r="M459" s="6"/>
      <c r="N459" s="6"/>
      <c r="O459" s="6"/>
      <c r="P459" s="6"/>
      <c r="Q459" s="6"/>
      <c r="R459" s="6"/>
      <c r="S459" s="6"/>
      <c r="T459" s="6"/>
      <c r="U459" s="6"/>
      <c r="V459" s="6"/>
      <c r="W459" s="6"/>
      <c r="X459" s="6"/>
      <c r="Y459" s="6"/>
      <c r="Z459" s="6"/>
      <c r="AA459" s="6"/>
      <c r="AB459" s="6"/>
    </row>
    <row r="460" ht="16.5" customHeight="1">
      <c r="A460" s="6"/>
      <c r="B460" s="6"/>
      <c r="C460" s="6"/>
      <c r="D460" s="6"/>
      <c r="E460" s="6"/>
      <c r="F460" s="6"/>
      <c r="G460" s="6"/>
      <c r="H460" s="93"/>
      <c r="I460" s="93"/>
      <c r="J460" s="93"/>
      <c r="K460" s="93"/>
      <c r="L460" s="93"/>
      <c r="M460" s="6"/>
      <c r="N460" s="6"/>
      <c r="O460" s="6"/>
      <c r="P460" s="6"/>
      <c r="Q460" s="6"/>
      <c r="R460" s="6"/>
      <c r="S460" s="6"/>
      <c r="T460" s="6"/>
      <c r="U460" s="6"/>
      <c r="V460" s="6"/>
      <c r="W460" s="6"/>
      <c r="X460" s="6"/>
      <c r="Y460" s="6"/>
      <c r="Z460" s="6"/>
      <c r="AA460" s="6"/>
      <c r="AB460" s="6"/>
    </row>
    <row r="461" ht="16.5" customHeight="1">
      <c r="A461" s="6"/>
      <c r="B461" s="6"/>
      <c r="C461" s="6"/>
      <c r="D461" s="6"/>
      <c r="E461" s="6"/>
      <c r="F461" s="6"/>
      <c r="G461" s="6"/>
      <c r="H461" s="93"/>
      <c r="I461" s="93"/>
      <c r="J461" s="93"/>
      <c r="K461" s="93"/>
      <c r="L461" s="93"/>
      <c r="M461" s="6"/>
      <c r="N461" s="6"/>
      <c r="O461" s="6"/>
      <c r="P461" s="6"/>
      <c r="Q461" s="6"/>
      <c r="R461" s="6"/>
      <c r="S461" s="6"/>
      <c r="T461" s="6"/>
      <c r="U461" s="6"/>
      <c r="V461" s="6"/>
      <c r="W461" s="6"/>
      <c r="X461" s="6"/>
      <c r="Y461" s="6"/>
      <c r="Z461" s="6"/>
      <c r="AA461" s="6"/>
      <c r="AB461" s="6"/>
    </row>
    <row r="462" ht="16.5" customHeight="1">
      <c r="A462" s="6"/>
      <c r="B462" s="6"/>
      <c r="C462" s="6"/>
      <c r="D462" s="6"/>
      <c r="E462" s="6"/>
      <c r="F462" s="6"/>
      <c r="G462" s="6"/>
      <c r="H462" s="93"/>
      <c r="I462" s="93"/>
      <c r="J462" s="93"/>
      <c r="K462" s="93"/>
      <c r="L462" s="93"/>
      <c r="M462" s="6"/>
      <c r="N462" s="6"/>
      <c r="O462" s="6"/>
      <c r="P462" s="6"/>
      <c r="Q462" s="6"/>
      <c r="R462" s="6"/>
      <c r="S462" s="6"/>
      <c r="T462" s="6"/>
      <c r="U462" s="6"/>
      <c r="V462" s="6"/>
      <c r="W462" s="6"/>
      <c r="X462" s="6"/>
      <c r="Y462" s="6"/>
      <c r="Z462" s="6"/>
      <c r="AA462" s="6"/>
      <c r="AB462" s="6"/>
    </row>
    <row r="463" ht="16.5" customHeight="1">
      <c r="A463" s="6"/>
      <c r="B463" s="6"/>
      <c r="C463" s="6"/>
      <c r="D463" s="6"/>
      <c r="E463" s="6"/>
      <c r="F463" s="6"/>
      <c r="G463" s="6"/>
      <c r="H463" s="93"/>
      <c r="I463" s="93"/>
      <c r="J463" s="93"/>
      <c r="K463" s="93"/>
      <c r="L463" s="93"/>
      <c r="M463" s="6"/>
      <c r="N463" s="6"/>
      <c r="O463" s="6"/>
      <c r="P463" s="6"/>
      <c r="Q463" s="6"/>
      <c r="R463" s="6"/>
      <c r="S463" s="6"/>
      <c r="T463" s="6"/>
      <c r="U463" s="6"/>
      <c r="V463" s="6"/>
      <c r="W463" s="6"/>
      <c r="X463" s="6"/>
      <c r="Y463" s="6"/>
      <c r="Z463" s="6"/>
      <c r="AA463" s="6"/>
      <c r="AB463" s="6"/>
    </row>
    <row r="464" ht="16.5" customHeight="1">
      <c r="A464" s="6"/>
      <c r="B464" s="6"/>
      <c r="C464" s="6"/>
      <c r="D464" s="6"/>
      <c r="E464" s="6"/>
      <c r="F464" s="6"/>
      <c r="G464" s="6"/>
      <c r="H464" s="93"/>
      <c r="I464" s="93"/>
      <c r="J464" s="93"/>
      <c r="K464" s="93"/>
      <c r="L464" s="93"/>
      <c r="M464" s="6"/>
      <c r="N464" s="6"/>
      <c r="O464" s="6"/>
      <c r="P464" s="6"/>
      <c r="Q464" s="6"/>
      <c r="R464" s="6"/>
      <c r="S464" s="6"/>
      <c r="T464" s="6"/>
      <c r="U464" s="6"/>
      <c r="V464" s="6"/>
      <c r="W464" s="6"/>
      <c r="X464" s="6"/>
      <c r="Y464" s="6"/>
      <c r="Z464" s="6"/>
      <c r="AA464" s="6"/>
      <c r="AB464" s="6"/>
    </row>
    <row r="465" ht="16.5" customHeight="1">
      <c r="A465" s="6"/>
      <c r="B465" s="6"/>
      <c r="C465" s="6"/>
      <c r="D465" s="6"/>
      <c r="E465" s="6"/>
      <c r="F465" s="6"/>
      <c r="G465" s="6"/>
      <c r="H465" s="93"/>
      <c r="I465" s="93"/>
      <c r="J465" s="93"/>
      <c r="K465" s="93"/>
      <c r="L465" s="93"/>
      <c r="M465" s="6"/>
      <c r="N465" s="6"/>
      <c r="O465" s="6"/>
      <c r="P465" s="6"/>
      <c r="Q465" s="6"/>
      <c r="R465" s="6"/>
      <c r="S465" s="6"/>
      <c r="T465" s="6"/>
      <c r="U465" s="6"/>
      <c r="V465" s="6"/>
      <c r="W465" s="6"/>
      <c r="X465" s="6"/>
      <c r="Y465" s="6"/>
      <c r="Z465" s="6"/>
      <c r="AA465" s="6"/>
      <c r="AB465" s="6"/>
    </row>
    <row r="466" ht="16.5" customHeight="1">
      <c r="A466" s="6"/>
      <c r="B466" s="6"/>
      <c r="C466" s="6"/>
      <c r="D466" s="6"/>
      <c r="E466" s="6"/>
      <c r="F466" s="6"/>
      <c r="G466" s="6"/>
      <c r="H466" s="93"/>
      <c r="I466" s="93"/>
      <c r="J466" s="93"/>
      <c r="K466" s="93"/>
      <c r="L466" s="93"/>
      <c r="M466" s="6"/>
      <c r="N466" s="6"/>
      <c r="O466" s="6"/>
      <c r="P466" s="6"/>
      <c r="Q466" s="6"/>
      <c r="R466" s="6"/>
      <c r="S466" s="6"/>
      <c r="T466" s="6"/>
      <c r="U466" s="6"/>
      <c r="V466" s="6"/>
      <c r="W466" s="6"/>
      <c r="X466" s="6"/>
      <c r="Y466" s="6"/>
      <c r="Z466" s="6"/>
      <c r="AA466" s="6"/>
      <c r="AB466" s="6"/>
    </row>
    <row r="467" ht="16.5" customHeight="1">
      <c r="A467" s="6"/>
      <c r="B467" s="6"/>
      <c r="C467" s="6"/>
      <c r="D467" s="6"/>
      <c r="E467" s="6"/>
      <c r="F467" s="6"/>
      <c r="G467" s="6"/>
      <c r="H467" s="93"/>
      <c r="I467" s="93"/>
      <c r="J467" s="93"/>
      <c r="K467" s="93"/>
      <c r="L467" s="93"/>
      <c r="M467" s="6"/>
      <c r="N467" s="6"/>
      <c r="O467" s="6"/>
      <c r="P467" s="6"/>
      <c r="Q467" s="6"/>
      <c r="R467" s="6"/>
      <c r="S467" s="6"/>
      <c r="T467" s="6"/>
      <c r="U467" s="6"/>
      <c r="V467" s="6"/>
      <c r="W467" s="6"/>
      <c r="X467" s="6"/>
      <c r="Y467" s="6"/>
      <c r="Z467" s="6"/>
      <c r="AA467" s="6"/>
      <c r="AB467" s="6"/>
    </row>
    <row r="468" ht="16.5" customHeight="1">
      <c r="A468" s="6"/>
      <c r="B468" s="6"/>
      <c r="C468" s="6"/>
      <c r="D468" s="6"/>
      <c r="E468" s="6"/>
      <c r="F468" s="6"/>
      <c r="G468" s="6"/>
      <c r="H468" s="93"/>
      <c r="I468" s="93"/>
      <c r="J468" s="93"/>
      <c r="K468" s="93"/>
      <c r="L468" s="93"/>
      <c r="M468" s="6"/>
      <c r="N468" s="6"/>
      <c r="O468" s="6"/>
      <c r="P468" s="6"/>
      <c r="Q468" s="6"/>
      <c r="R468" s="6"/>
      <c r="S468" s="6"/>
      <c r="T468" s="6"/>
      <c r="U468" s="6"/>
      <c r="V468" s="6"/>
      <c r="W468" s="6"/>
      <c r="X468" s="6"/>
      <c r="Y468" s="6"/>
      <c r="Z468" s="6"/>
      <c r="AA468" s="6"/>
      <c r="AB468" s="6"/>
    </row>
    <row r="469" ht="16.5" customHeight="1">
      <c r="A469" s="6"/>
      <c r="B469" s="6"/>
      <c r="C469" s="6"/>
      <c r="D469" s="6"/>
      <c r="E469" s="6"/>
      <c r="F469" s="6"/>
      <c r="G469" s="6"/>
      <c r="H469" s="93"/>
      <c r="I469" s="93"/>
      <c r="J469" s="93"/>
      <c r="K469" s="93"/>
      <c r="L469" s="93"/>
      <c r="M469" s="6"/>
      <c r="N469" s="6"/>
      <c r="O469" s="6"/>
      <c r="P469" s="6"/>
      <c r="Q469" s="6"/>
      <c r="R469" s="6"/>
      <c r="S469" s="6"/>
      <c r="T469" s="6"/>
      <c r="U469" s="6"/>
      <c r="V469" s="6"/>
      <c r="W469" s="6"/>
      <c r="X469" s="6"/>
      <c r="Y469" s="6"/>
      <c r="Z469" s="6"/>
      <c r="AA469" s="6"/>
      <c r="AB469" s="6"/>
    </row>
    <row r="470" ht="16.5" customHeight="1">
      <c r="A470" s="6"/>
      <c r="B470" s="6"/>
      <c r="C470" s="6"/>
      <c r="D470" s="6"/>
      <c r="E470" s="6"/>
      <c r="F470" s="6"/>
      <c r="G470" s="6"/>
      <c r="H470" s="93"/>
      <c r="I470" s="93"/>
      <c r="J470" s="93"/>
      <c r="K470" s="93"/>
      <c r="L470" s="93"/>
      <c r="M470" s="6"/>
      <c r="N470" s="6"/>
      <c r="O470" s="6"/>
      <c r="P470" s="6"/>
      <c r="Q470" s="6"/>
      <c r="R470" s="6"/>
      <c r="S470" s="6"/>
      <c r="T470" s="6"/>
      <c r="U470" s="6"/>
      <c r="V470" s="6"/>
      <c r="W470" s="6"/>
      <c r="X470" s="6"/>
      <c r="Y470" s="6"/>
      <c r="Z470" s="6"/>
      <c r="AA470" s="6"/>
      <c r="AB470" s="6"/>
    </row>
    <row r="471" ht="16.5" customHeight="1">
      <c r="A471" s="6"/>
      <c r="B471" s="6"/>
      <c r="C471" s="6"/>
      <c r="D471" s="6"/>
      <c r="E471" s="6"/>
      <c r="F471" s="6"/>
      <c r="G471" s="6"/>
      <c r="H471" s="93"/>
      <c r="I471" s="93"/>
      <c r="J471" s="93"/>
      <c r="K471" s="93"/>
      <c r="L471" s="93"/>
      <c r="M471" s="6"/>
      <c r="N471" s="6"/>
      <c r="O471" s="6"/>
      <c r="P471" s="6"/>
      <c r="Q471" s="6"/>
      <c r="R471" s="6"/>
      <c r="S471" s="6"/>
      <c r="T471" s="6"/>
      <c r="U471" s="6"/>
      <c r="V471" s="6"/>
      <c r="W471" s="6"/>
      <c r="X471" s="6"/>
      <c r="Y471" s="6"/>
      <c r="Z471" s="6"/>
      <c r="AA471" s="6"/>
      <c r="AB471" s="6"/>
    </row>
    <row r="472" ht="16.5" customHeight="1">
      <c r="A472" s="6"/>
      <c r="B472" s="6"/>
      <c r="C472" s="6"/>
      <c r="D472" s="6"/>
      <c r="E472" s="6"/>
      <c r="F472" s="6"/>
      <c r="G472" s="6"/>
      <c r="H472" s="93"/>
      <c r="I472" s="93"/>
      <c r="J472" s="93"/>
      <c r="K472" s="93"/>
      <c r="L472" s="93"/>
      <c r="M472" s="6"/>
      <c r="N472" s="6"/>
      <c r="O472" s="6"/>
      <c r="P472" s="6"/>
      <c r="Q472" s="6"/>
      <c r="R472" s="6"/>
      <c r="S472" s="6"/>
      <c r="T472" s="6"/>
      <c r="U472" s="6"/>
      <c r="V472" s="6"/>
      <c r="W472" s="6"/>
      <c r="X472" s="6"/>
      <c r="Y472" s="6"/>
      <c r="Z472" s="6"/>
      <c r="AA472" s="6"/>
      <c r="AB472" s="6"/>
    </row>
    <row r="473" ht="16.5" customHeight="1">
      <c r="A473" s="6"/>
      <c r="B473" s="6"/>
      <c r="C473" s="6"/>
      <c r="D473" s="6"/>
      <c r="E473" s="6"/>
      <c r="F473" s="6"/>
      <c r="G473" s="6"/>
      <c r="H473" s="93"/>
      <c r="I473" s="93"/>
      <c r="J473" s="93"/>
      <c r="K473" s="93"/>
      <c r="L473" s="93"/>
      <c r="M473" s="6"/>
      <c r="N473" s="6"/>
      <c r="O473" s="6"/>
      <c r="P473" s="6"/>
      <c r="Q473" s="6"/>
      <c r="R473" s="6"/>
      <c r="S473" s="6"/>
      <c r="T473" s="6"/>
      <c r="U473" s="6"/>
      <c r="V473" s="6"/>
      <c r="W473" s="6"/>
      <c r="X473" s="6"/>
      <c r="Y473" s="6"/>
      <c r="Z473" s="6"/>
      <c r="AA473" s="6"/>
      <c r="AB473" s="6"/>
    </row>
    <row r="474" ht="16.5" customHeight="1">
      <c r="A474" s="6"/>
      <c r="B474" s="6"/>
      <c r="C474" s="6"/>
      <c r="D474" s="6"/>
      <c r="E474" s="6"/>
      <c r="F474" s="6"/>
      <c r="G474" s="6"/>
      <c r="H474" s="93"/>
      <c r="I474" s="93"/>
      <c r="J474" s="93"/>
      <c r="K474" s="93"/>
      <c r="L474" s="93"/>
      <c r="M474" s="6"/>
      <c r="N474" s="6"/>
      <c r="O474" s="6"/>
      <c r="P474" s="6"/>
      <c r="Q474" s="6"/>
      <c r="R474" s="6"/>
      <c r="S474" s="6"/>
      <c r="T474" s="6"/>
      <c r="U474" s="6"/>
      <c r="V474" s="6"/>
      <c r="W474" s="6"/>
      <c r="X474" s="6"/>
      <c r="Y474" s="6"/>
      <c r="Z474" s="6"/>
      <c r="AA474" s="6"/>
      <c r="AB474" s="6"/>
    </row>
    <row r="475" ht="16.5" customHeight="1">
      <c r="A475" s="6"/>
      <c r="B475" s="6"/>
      <c r="C475" s="6"/>
      <c r="D475" s="6"/>
      <c r="E475" s="6"/>
      <c r="F475" s="6"/>
      <c r="G475" s="6"/>
      <c r="H475" s="93"/>
      <c r="I475" s="93"/>
      <c r="J475" s="93"/>
      <c r="K475" s="93"/>
      <c r="L475" s="93"/>
      <c r="M475" s="6"/>
      <c r="N475" s="6"/>
      <c r="O475" s="6"/>
      <c r="P475" s="6"/>
      <c r="Q475" s="6"/>
      <c r="R475" s="6"/>
      <c r="S475" s="6"/>
      <c r="T475" s="6"/>
      <c r="U475" s="6"/>
      <c r="V475" s="6"/>
      <c r="W475" s="6"/>
      <c r="X475" s="6"/>
      <c r="Y475" s="6"/>
      <c r="Z475" s="6"/>
      <c r="AA475" s="6"/>
      <c r="AB475" s="6"/>
    </row>
    <row r="476" ht="16.5" customHeight="1">
      <c r="A476" s="6"/>
      <c r="B476" s="6"/>
      <c r="C476" s="6"/>
      <c r="D476" s="6"/>
      <c r="E476" s="6"/>
      <c r="F476" s="6"/>
      <c r="G476" s="6"/>
      <c r="H476" s="93"/>
      <c r="I476" s="93"/>
      <c r="J476" s="93"/>
      <c r="K476" s="93"/>
      <c r="L476" s="93"/>
      <c r="M476" s="6"/>
      <c r="N476" s="6"/>
      <c r="O476" s="6"/>
      <c r="P476" s="6"/>
      <c r="Q476" s="6"/>
      <c r="R476" s="6"/>
      <c r="S476" s="6"/>
      <c r="T476" s="6"/>
      <c r="U476" s="6"/>
      <c r="V476" s="6"/>
      <c r="W476" s="6"/>
      <c r="X476" s="6"/>
      <c r="Y476" s="6"/>
      <c r="Z476" s="6"/>
      <c r="AA476" s="6"/>
      <c r="AB476" s="6"/>
    </row>
    <row r="477" ht="16.5" customHeight="1">
      <c r="A477" s="6"/>
      <c r="B477" s="6"/>
      <c r="C477" s="6"/>
      <c r="D477" s="6"/>
      <c r="E477" s="6"/>
      <c r="F477" s="6"/>
      <c r="G477" s="6"/>
      <c r="H477" s="93"/>
      <c r="I477" s="93"/>
      <c r="J477" s="93"/>
      <c r="K477" s="93"/>
      <c r="L477" s="93"/>
      <c r="M477" s="6"/>
      <c r="N477" s="6"/>
      <c r="O477" s="6"/>
      <c r="P477" s="6"/>
      <c r="Q477" s="6"/>
      <c r="R477" s="6"/>
      <c r="S477" s="6"/>
      <c r="T477" s="6"/>
      <c r="U477" s="6"/>
      <c r="V477" s="6"/>
      <c r="W477" s="6"/>
      <c r="X477" s="6"/>
      <c r="Y477" s="6"/>
      <c r="Z477" s="6"/>
      <c r="AA477" s="6"/>
      <c r="AB477" s="6"/>
    </row>
    <row r="478" ht="16.5" customHeight="1">
      <c r="A478" s="6"/>
      <c r="B478" s="6"/>
      <c r="C478" s="6"/>
      <c r="D478" s="6"/>
      <c r="E478" s="6"/>
      <c r="F478" s="6"/>
      <c r="G478" s="6"/>
      <c r="H478" s="93"/>
      <c r="I478" s="93"/>
      <c r="J478" s="93"/>
      <c r="K478" s="93"/>
      <c r="L478" s="93"/>
      <c r="M478" s="6"/>
      <c r="N478" s="6"/>
      <c r="O478" s="6"/>
      <c r="P478" s="6"/>
      <c r="Q478" s="6"/>
      <c r="R478" s="6"/>
      <c r="S478" s="6"/>
      <c r="T478" s="6"/>
      <c r="U478" s="6"/>
      <c r="V478" s="6"/>
      <c r="W478" s="6"/>
      <c r="X478" s="6"/>
      <c r="Y478" s="6"/>
      <c r="Z478" s="6"/>
      <c r="AA478" s="6"/>
      <c r="AB478" s="6"/>
    </row>
    <row r="479" ht="16.5" customHeight="1">
      <c r="A479" s="6"/>
      <c r="B479" s="6"/>
      <c r="C479" s="6"/>
      <c r="D479" s="6"/>
      <c r="E479" s="6"/>
      <c r="F479" s="6"/>
      <c r="G479" s="6"/>
      <c r="H479" s="93"/>
      <c r="I479" s="93"/>
      <c r="J479" s="93"/>
      <c r="K479" s="93"/>
      <c r="L479" s="93"/>
      <c r="M479" s="6"/>
      <c r="N479" s="6"/>
      <c r="O479" s="6"/>
      <c r="P479" s="6"/>
      <c r="Q479" s="6"/>
      <c r="R479" s="6"/>
      <c r="S479" s="6"/>
      <c r="T479" s="6"/>
      <c r="U479" s="6"/>
      <c r="V479" s="6"/>
      <c r="W479" s="6"/>
      <c r="X479" s="6"/>
      <c r="Y479" s="6"/>
      <c r="Z479" s="6"/>
      <c r="AA479" s="6"/>
      <c r="AB479" s="6"/>
    </row>
    <row r="480" ht="16.5" customHeight="1">
      <c r="A480" s="6"/>
      <c r="B480" s="6"/>
      <c r="C480" s="6"/>
      <c r="D480" s="6"/>
      <c r="E480" s="6"/>
      <c r="F480" s="6"/>
      <c r="G480" s="6"/>
      <c r="H480" s="93"/>
      <c r="I480" s="93"/>
      <c r="J480" s="93"/>
      <c r="K480" s="93"/>
      <c r="L480" s="93"/>
      <c r="M480" s="6"/>
      <c r="N480" s="6"/>
      <c r="O480" s="6"/>
      <c r="P480" s="6"/>
      <c r="Q480" s="6"/>
      <c r="R480" s="6"/>
      <c r="S480" s="6"/>
      <c r="T480" s="6"/>
      <c r="U480" s="6"/>
      <c r="V480" s="6"/>
      <c r="W480" s="6"/>
      <c r="X480" s="6"/>
      <c r="Y480" s="6"/>
      <c r="Z480" s="6"/>
      <c r="AA480" s="6"/>
      <c r="AB480" s="6"/>
    </row>
    <row r="481" ht="16.5" customHeight="1">
      <c r="A481" s="6"/>
      <c r="B481" s="6"/>
      <c r="C481" s="6"/>
      <c r="D481" s="6"/>
      <c r="E481" s="6"/>
      <c r="F481" s="6"/>
      <c r="G481" s="6"/>
      <c r="H481" s="93"/>
      <c r="I481" s="93"/>
      <c r="J481" s="93"/>
      <c r="K481" s="93"/>
      <c r="L481" s="93"/>
      <c r="M481" s="6"/>
      <c r="N481" s="6"/>
      <c r="O481" s="6"/>
      <c r="P481" s="6"/>
      <c r="Q481" s="6"/>
      <c r="R481" s="6"/>
      <c r="S481" s="6"/>
      <c r="T481" s="6"/>
      <c r="U481" s="6"/>
      <c r="V481" s="6"/>
      <c r="W481" s="6"/>
      <c r="X481" s="6"/>
      <c r="Y481" s="6"/>
      <c r="Z481" s="6"/>
      <c r="AA481" s="6"/>
      <c r="AB481" s="6"/>
    </row>
    <row r="482" ht="16.5" customHeight="1">
      <c r="A482" s="6"/>
      <c r="B482" s="6"/>
      <c r="C482" s="6"/>
      <c r="D482" s="6"/>
      <c r="E482" s="6"/>
      <c r="F482" s="6"/>
      <c r="G482" s="6"/>
      <c r="H482" s="93"/>
      <c r="I482" s="93"/>
      <c r="J482" s="93"/>
      <c r="K482" s="93"/>
      <c r="L482" s="93"/>
      <c r="M482" s="6"/>
      <c r="N482" s="6"/>
      <c r="O482" s="6"/>
      <c r="P482" s="6"/>
      <c r="Q482" s="6"/>
      <c r="R482" s="6"/>
      <c r="S482" s="6"/>
      <c r="T482" s="6"/>
      <c r="U482" s="6"/>
      <c r="V482" s="6"/>
      <c r="W482" s="6"/>
      <c r="X482" s="6"/>
      <c r="Y482" s="6"/>
      <c r="Z482" s="6"/>
      <c r="AA482" s="6"/>
      <c r="AB482" s="6"/>
    </row>
    <row r="483" ht="16.5" customHeight="1">
      <c r="A483" s="6"/>
      <c r="B483" s="6"/>
      <c r="C483" s="6"/>
      <c r="D483" s="6"/>
      <c r="E483" s="6"/>
      <c r="F483" s="6"/>
      <c r="G483" s="6"/>
      <c r="H483" s="93"/>
      <c r="I483" s="93"/>
      <c r="J483" s="93"/>
      <c r="K483" s="93"/>
      <c r="L483" s="93"/>
      <c r="M483" s="6"/>
      <c r="N483" s="6"/>
      <c r="O483" s="6"/>
      <c r="P483" s="6"/>
      <c r="Q483" s="6"/>
      <c r="R483" s="6"/>
      <c r="S483" s="6"/>
      <c r="T483" s="6"/>
      <c r="U483" s="6"/>
      <c r="V483" s="6"/>
      <c r="W483" s="6"/>
      <c r="X483" s="6"/>
      <c r="Y483" s="6"/>
      <c r="Z483" s="6"/>
      <c r="AA483" s="6"/>
      <c r="AB483" s="6"/>
    </row>
    <row r="484" ht="16.5" customHeight="1">
      <c r="A484" s="6"/>
      <c r="B484" s="6"/>
      <c r="C484" s="6"/>
      <c r="D484" s="6"/>
      <c r="E484" s="6"/>
      <c r="F484" s="6"/>
      <c r="G484" s="6"/>
      <c r="H484" s="93"/>
      <c r="I484" s="93"/>
      <c r="J484" s="93"/>
      <c r="K484" s="93"/>
      <c r="L484" s="93"/>
      <c r="M484" s="6"/>
      <c r="N484" s="6"/>
      <c r="O484" s="6"/>
      <c r="P484" s="6"/>
      <c r="Q484" s="6"/>
      <c r="R484" s="6"/>
      <c r="S484" s="6"/>
      <c r="T484" s="6"/>
      <c r="U484" s="6"/>
      <c r="V484" s="6"/>
      <c r="W484" s="6"/>
      <c r="X484" s="6"/>
      <c r="Y484" s="6"/>
      <c r="Z484" s="6"/>
      <c r="AA484" s="6"/>
      <c r="AB484" s="6"/>
    </row>
    <row r="485" ht="16.5" customHeight="1">
      <c r="A485" s="6"/>
      <c r="B485" s="6"/>
      <c r="C485" s="6"/>
      <c r="D485" s="6"/>
      <c r="E485" s="6"/>
      <c r="F485" s="6"/>
      <c r="G485" s="6"/>
      <c r="H485" s="93"/>
      <c r="I485" s="93"/>
      <c r="J485" s="93"/>
      <c r="K485" s="93"/>
      <c r="L485" s="93"/>
      <c r="M485" s="6"/>
      <c r="N485" s="6"/>
      <c r="O485" s="6"/>
      <c r="P485" s="6"/>
      <c r="Q485" s="6"/>
      <c r="R485" s="6"/>
      <c r="S485" s="6"/>
      <c r="T485" s="6"/>
      <c r="U485" s="6"/>
      <c r="V485" s="6"/>
      <c r="W485" s="6"/>
      <c r="X485" s="6"/>
      <c r="Y485" s="6"/>
      <c r="Z485" s="6"/>
      <c r="AA485" s="6"/>
      <c r="AB485" s="6"/>
    </row>
    <row r="486" ht="16.5" customHeight="1">
      <c r="A486" s="6"/>
      <c r="B486" s="6"/>
      <c r="C486" s="6"/>
      <c r="D486" s="6"/>
      <c r="E486" s="6"/>
      <c r="F486" s="6"/>
      <c r="G486" s="6"/>
      <c r="H486" s="93"/>
      <c r="I486" s="93"/>
      <c r="J486" s="93"/>
      <c r="K486" s="93"/>
      <c r="L486" s="93"/>
      <c r="M486" s="6"/>
      <c r="N486" s="6"/>
      <c r="O486" s="6"/>
      <c r="P486" s="6"/>
      <c r="Q486" s="6"/>
      <c r="R486" s="6"/>
      <c r="S486" s="6"/>
      <c r="T486" s="6"/>
      <c r="U486" s="6"/>
      <c r="V486" s="6"/>
      <c r="W486" s="6"/>
      <c r="X486" s="6"/>
      <c r="Y486" s="6"/>
      <c r="Z486" s="6"/>
      <c r="AA486" s="6"/>
      <c r="AB486" s="6"/>
    </row>
    <row r="487" ht="16.5" customHeight="1">
      <c r="A487" s="6"/>
      <c r="B487" s="6"/>
      <c r="C487" s="6"/>
      <c r="D487" s="6"/>
      <c r="E487" s="6"/>
      <c r="F487" s="6"/>
      <c r="G487" s="6"/>
      <c r="H487" s="93"/>
      <c r="I487" s="93"/>
      <c r="J487" s="93"/>
      <c r="K487" s="93"/>
      <c r="L487" s="93"/>
      <c r="M487" s="6"/>
      <c r="N487" s="6"/>
      <c r="O487" s="6"/>
      <c r="P487" s="6"/>
      <c r="Q487" s="6"/>
      <c r="R487" s="6"/>
      <c r="S487" s="6"/>
      <c r="T487" s="6"/>
      <c r="U487" s="6"/>
      <c r="V487" s="6"/>
      <c r="W487" s="6"/>
      <c r="X487" s="6"/>
      <c r="Y487" s="6"/>
      <c r="Z487" s="6"/>
      <c r="AA487" s="6"/>
      <c r="AB487" s="6"/>
    </row>
    <row r="488" ht="16.5" customHeight="1">
      <c r="A488" s="6"/>
      <c r="B488" s="6"/>
      <c r="C488" s="6"/>
      <c r="D488" s="6"/>
      <c r="E488" s="6"/>
      <c r="F488" s="6"/>
      <c r="G488" s="6"/>
      <c r="H488" s="93"/>
      <c r="I488" s="93"/>
      <c r="J488" s="93"/>
      <c r="K488" s="93"/>
      <c r="L488" s="93"/>
      <c r="M488" s="6"/>
      <c r="N488" s="6"/>
      <c r="O488" s="6"/>
      <c r="P488" s="6"/>
      <c r="Q488" s="6"/>
      <c r="R488" s="6"/>
      <c r="S488" s="6"/>
      <c r="T488" s="6"/>
      <c r="U488" s="6"/>
      <c r="V488" s="6"/>
      <c r="W488" s="6"/>
      <c r="X488" s="6"/>
      <c r="Y488" s="6"/>
      <c r="Z488" s="6"/>
      <c r="AA488" s="6"/>
      <c r="AB488" s="6"/>
    </row>
    <row r="489" ht="16.5" customHeight="1">
      <c r="A489" s="6"/>
      <c r="B489" s="6"/>
      <c r="C489" s="6"/>
      <c r="D489" s="6"/>
      <c r="E489" s="6"/>
      <c r="F489" s="6"/>
      <c r="G489" s="6"/>
      <c r="H489" s="93"/>
      <c r="I489" s="93"/>
      <c r="J489" s="93"/>
      <c r="K489" s="93"/>
      <c r="L489" s="93"/>
      <c r="M489" s="6"/>
      <c r="N489" s="6"/>
      <c r="O489" s="6"/>
      <c r="P489" s="6"/>
      <c r="Q489" s="6"/>
      <c r="R489" s="6"/>
      <c r="S489" s="6"/>
      <c r="T489" s="6"/>
      <c r="U489" s="6"/>
      <c r="V489" s="6"/>
      <c r="W489" s="6"/>
      <c r="X489" s="6"/>
      <c r="Y489" s="6"/>
      <c r="Z489" s="6"/>
      <c r="AA489" s="6"/>
      <c r="AB489" s="6"/>
    </row>
    <row r="490" ht="16.5" customHeight="1">
      <c r="A490" s="6"/>
      <c r="B490" s="6"/>
      <c r="C490" s="6"/>
      <c r="D490" s="6"/>
      <c r="E490" s="6"/>
      <c r="F490" s="6"/>
      <c r="G490" s="6"/>
      <c r="H490" s="93"/>
      <c r="I490" s="93"/>
      <c r="J490" s="93"/>
      <c r="K490" s="93"/>
      <c r="L490" s="93"/>
      <c r="M490" s="6"/>
      <c r="N490" s="6"/>
      <c r="O490" s="6"/>
      <c r="P490" s="6"/>
      <c r="Q490" s="6"/>
      <c r="R490" s="6"/>
      <c r="S490" s="6"/>
      <c r="T490" s="6"/>
      <c r="U490" s="6"/>
      <c r="V490" s="6"/>
      <c r="W490" s="6"/>
      <c r="X490" s="6"/>
      <c r="Y490" s="6"/>
      <c r="Z490" s="6"/>
      <c r="AA490" s="6"/>
      <c r="AB490" s="6"/>
    </row>
    <row r="491" ht="16.5" customHeight="1">
      <c r="A491" s="6"/>
      <c r="B491" s="6"/>
      <c r="C491" s="6"/>
      <c r="D491" s="6"/>
      <c r="E491" s="6"/>
      <c r="F491" s="6"/>
      <c r="G491" s="6"/>
      <c r="H491" s="93"/>
      <c r="I491" s="93"/>
      <c r="J491" s="93"/>
      <c r="K491" s="93"/>
      <c r="L491" s="93"/>
      <c r="M491" s="6"/>
      <c r="N491" s="6"/>
      <c r="O491" s="6"/>
      <c r="P491" s="6"/>
      <c r="Q491" s="6"/>
      <c r="R491" s="6"/>
      <c r="S491" s="6"/>
      <c r="T491" s="6"/>
      <c r="U491" s="6"/>
      <c r="V491" s="6"/>
      <c r="W491" s="6"/>
      <c r="X491" s="6"/>
      <c r="Y491" s="6"/>
      <c r="Z491" s="6"/>
      <c r="AA491" s="6"/>
      <c r="AB491" s="6"/>
    </row>
    <row r="492" ht="16.5" customHeight="1">
      <c r="A492" s="6"/>
      <c r="B492" s="6"/>
      <c r="C492" s="6"/>
      <c r="D492" s="6"/>
      <c r="E492" s="6"/>
      <c r="F492" s="6"/>
      <c r="G492" s="6"/>
      <c r="H492" s="93"/>
      <c r="I492" s="93"/>
      <c r="J492" s="93"/>
      <c r="K492" s="93"/>
      <c r="L492" s="93"/>
      <c r="M492" s="6"/>
      <c r="N492" s="6"/>
      <c r="O492" s="6"/>
      <c r="P492" s="6"/>
      <c r="Q492" s="6"/>
      <c r="R492" s="6"/>
      <c r="S492" s="6"/>
      <c r="T492" s="6"/>
      <c r="U492" s="6"/>
      <c r="V492" s="6"/>
      <c r="W492" s="6"/>
      <c r="X492" s="6"/>
      <c r="Y492" s="6"/>
      <c r="Z492" s="6"/>
      <c r="AA492" s="6"/>
      <c r="AB492" s="6"/>
    </row>
    <row r="493" ht="16.5" customHeight="1">
      <c r="A493" s="6"/>
      <c r="B493" s="6"/>
      <c r="C493" s="6"/>
      <c r="D493" s="6"/>
      <c r="E493" s="6"/>
      <c r="F493" s="6"/>
      <c r="G493" s="6"/>
      <c r="H493" s="93"/>
      <c r="I493" s="93"/>
      <c r="J493" s="93"/>
      <c r="K493" s="93"/>
      <c r="L493" s="93"/>
      <c r="M493" s="6"/>
      <c r="N493" s="6"/>
      <c r="O493" s="6"/>
      <c r="P493" s="6"/>
      <c r="Q493" s="6"/>
      <c r="R493" s="6"/>
      <c r="S493" s="6"/>
      <c r="T493" s="6"/>
      <c r="U493" s="6"/>
      <c r="V493" s="6"/>
      <c r="W493" s="6"/>
      <c r="X493" s="6"/>
      <c r="Y493" s="6"/>
      <c r="Z493" s="6"/>
      <c r="AA493" s="6"/>
      <c r="AB493" s="6"/>
    </row>
    <row r="494" ht="16.5" customHeight="1">
      <c r="A494" s="6"/>
      <c r="B494" s="6"/>
      <c r="C494" s="6"/>
      <c r="D494" s="6"/>
      <c r="E494" s="6"/>
      <c r="F494" s="6"/>
      <c r="G494" s="6"/>
      <c r="H494" s="93"/>
      <c r="I494" s="93"/>
      <c r="J494" s="93"/>
      <c r="K494" s="93"/>
      <c r="L494" s="93"/>
      <c r="M494" s="6"/>
      <c r="N494" s="6"/>
      <c r="O494" s="6"/>
      <c r="P494" s="6"/>
      <c r="Q494" s="6"/>
      <c r="R494" s="6"/>
      <c r="S494" s="6"/>
      <c r="T494" s="6"/>
      <c r="U494" s="6"/>
      <c r="V494" s="6"/>
      <c r="W494" s="6"/>
      <c r="X494" s="6"/>
      <c r="Y494" s="6"/>
      <c r="Z494" s="6"/>
      <c r="AA494" s="6"/>
      <c r="AB494" s="6"/>
    </row>
    <row r="495" ht="16.5" customHeight="1">
      <c r="A495" s="6"/>
      <c r="B495" s="6"/>
      <c r="C495" s="6"/>
      <c r="D495" s="6"/>
      <c r="E495" s="6"/>
      <c r="F495" s="6"/>
      <c r="G495" s="6"/>
      <c r="H495" s="93"/>
      <c r="I495" s="93"/>
      <c r="J495" s="93"/>
      <c r="K495" s="93"/>
      <c r="L495" s="93"/>
      <c r="M495" s="6"/>
      <c r="N495" s="6"/>
      <c r="O495" s="6"/>
      <c r="P495" s="6"/>
      <c r="Q495" s="6"/>
      <c r="R495" s="6"/>
      <c r="S495" s="6"/>
      <c r="T495" s="6"/>
      <c r="U495" s="6"/>
      <c r="V495" s="6"/>
      <c r="W495" s="6"/>
      <c r="X495" s="6"/>
      <c r="Y495" s="6"/>
      <c r="Z495" s="6"/>
      <c r="AA495" s="6"/>
      <c r="AB495" s="6"/>
    </row>
    <row r="496" ht="16.5" customHeight="1">
      <c r="A496" s="6"/>
      <c r="B496" s="6"/>
      <c r="C496" s="6"/>
      <c r="D496" s="6"/>
      <c r="E496" s="6"/>
      <c r="F496" s="6"/>
      <c r="G496" s="6"/>
      <c r="H496" s="93"/>
      <c r="I496" s="93"/>
      <c r="J496" s="93"/>
      <c r="K496" s="93"/>
      <c r="L496" s="93"/>
      <c r="M496" s="6"/>
      <c r="N496" s="6"/>
      <c r="O496" s="6"/>
      <c r="P496" s="6"/>
      <c r="Q496" s="6"/>
      <c r="R496" s="6"/>
      <c r="S496" s="6"/>
      <c r="T496" s="6"/>
      <c r="U496" s="6"/>
      <c r="V496" s="6"/>
      <c r="W496" s="6"/>
      <c r="X496" s="6"/>
      <c r="Y496" s="6"/>
      <c r="Z496" s="6"/>
      <c r="AA496" s="6"/>
      <c r="AB496" s="6"/>
    </row>
    <row r="497" ht="16.5" customHeight="1">
      <c r="A497" s="6"/>
      <c r="B497" s="6"/>
      <c r="C497" s="6"/>
      <c r="D497" s="6"/>
      <c r="E497" s="6"/>
      <c r="F497" s="6"/>
      <c r="G497" s="6"/>
      <c r="H497" s="93"/>
      <c r="I497" s="93"/>
      <c r="J497" s="93"/>
      <c r="K497" s="93"/>
      <c r="L497" s="93"/>
      <c r="M497" s="6"/>
      <c r="N497" s="6"/>
      <c r="O497" s="6"/>
      <c r="P497" s="6"/>
      <c r="Q497" s="6"/>
      <c r="R497" s="6"/>
      <c r="S497" s="6"/>
      <c r="T497" s="6"/>
      <c r="U497" s="6"/>
      <c r="V497" s="6"/>
      <c r="W497" s="6"/>
      <c r="X497" s="6"/>
      <c r="Y497" s="6"/>
      <c r="Z497" s="6"/>
      <c r="AA497" s="6"/>
      <c r="AB497" s="6"/>
    </row>
    <row r="498" ht="16.5" customHeight="1">
      <c r="A498" s="6"/>
      <c r="B498" s="6"/>
      <c r="C498" s="6"/>
      <c r="D498" s="6"/>
      <c r="E498" s="6"/>
      <c r="F498" s="6"/>
      <c r="G498" s="6"/>
      <c r="H498" s="93"/>
      <c r="I498" s="93"/>
      <c r="J498" s="93"/>
      <c r="K498" s="93"/>
      <c r="L498" s="93"/>
      <c r="M498" s="6"/>
      <c r="N498" s="6"/>
      <c r="O498" s="6"/>
      <c r="P498" s="6"/>
      <c r="Q498" s="6"/>
      <c r="R498" s="6"/>
      <c r="S498" s="6"/>
      <c r="T498" s="6"/>
      <c r="U498" s="6"/>
      <c r="V498" s="6"/>
      <c r="W498" s="6"/>
      <c r="X498" s="6"/>
      <c r="Y498" s="6"/>
      <c r="Z498" s="6"/>
      <c r="AA498" s="6"/>
      <c r="AB498" s="6"/>
    </row>
    <row r="499" ht="16.5" customHeight="1">
      <c r="A499" s="6"/>
      <c r="B499" s="6"/>
      <c r="C499" s="6"/>
      <c r="D499" s="6"/>
      <c r="E499" s="6"/>
      <c r="F499" s="6"/>
      <c r="G499" s="6"/>
      <c r="H499" s="93"/>
      <c r="I499" s="93"/>
      <c r="J499" s="93"/>
      <c r="K499" s="93"/>
      <c r="L499" s="93"/>
      <c r="M499" s="6"/>
      <c r="N499" s="6"/>
      <c r="O499" s="6"/>
      <c r="P499" s="6"/>
      <c r="Q499" s="6"/>
      <c r="R499" s="6"/>
      <c r="S499" s="6"/>
      <c r="T499" s="6"/>
      <c r="U499" s="6"/>
      <c r="V499" s="6"/>
      <c r="W499" s="6"/>
      <c r="X499" s="6"/>
      <c r="Y499" s="6"/>
      <c r="Z499" s="6"/>
      <c r="AA499" s="6"/>
      <c r="AB499" s="6"/>
    </row>
    <row r="500" ht="16.5" customHeight="1">
      <c r="A500" s="6"/>
      <c r="B500" s="6"/>
      <c r="C500" s="6"/>
      <c r="D500" s="6"/>
      <c r="E500" s="6"/>
      <c r="F500" s="6"/>
      <c r="G500" s="6"/>
      <c r="H500" s="93"/>
      <c r="I500" s="93"/>
      <c r="J500" s="93"/>
      <c r="K500" s="93"/>
      <c r="L500" s="93"/>
      <c r="M500" s="6"/>
      <c r="N500" s="6"/>
      <c r="O500" s="6"/>
      <c r="P500" s="6"/>
      <c r="Q500" s="6"/>
      <c r="R500" s="6"/>
      <c r="S500" s="6"/>
      <c r="T500" s="6"/>
      <c r="U500" s="6"/>
      <c r="V500" s="6"/>
      <c r="W500" s="6"/>
      <c r="X500" s="6"/>
      <c r="Y500" s="6"/>
      <c r="Z500" s="6"/>
      <c r="AA500" s="6"/>
      <c r="AB500" s="6"/>
    </row>
    <row r="501" ht="16.5" customHeight="1">
      <c r="A501" s="6"/>
      <c r="B501" s="6"/>
      <c r="C501" s="6"/>
      <c r="D501" s="6"/>
      <c r="E501" s="6"/>
      <c r="F501" s="6"/>
      <c r="G501" s="6"/>
      <c r="H501" s="93"/>
      <c r="I501" s="93"/>
      <c r="J501" s="93"/>
      <c r="K501" s="93"/>
      <c r="L501" s="93"/>
      <c r="M501" s="6"/>
      <c r="N501" s="6"/>
      <c r="O501" s="6"/>
      <c r="P501" s="6"/>
      <c r="Q501" s="6"/>
      <c r="R501" s="6"/>
      <c r="S501" s="6"/>
      <c r="T501" s="6"/>
      <c r="U501" s="6"/>
      <c r="V501" s="6"/>
      <c r="W501" s="6"/>
      <c r="X501" s="6"/>
      <c r="Y501" s="6"/>
      <c r="Z501" s="6"/>
      <c r="AA501" s="6"/>
      <c r="AB501" s="6"/>
    </row>
    <row r="502" ht="16.5" customHeight="1">
      <c r="A502" s="6"/>
      <c r="B502" s="6"/>
      <c r="C502" s="6"/>
      <c r="D502" s="6"/>
      <c r="E502" s="6"/>
      <c r="F502" s="6"/>
      <c r="G502" s="6"/>
      <c r="H502" s="93"/>
      <c r="I502" s="93"/>
      <c r="J502" s="93"/>
      <c r="K502" s="93"/>
      <c r="L502" s="93"/>
      <c r="M502" s="6"/>
      <c r="N502" s="6"/>
      <c r="O502" s="6"/>
      <c r="P502" s="6"/>
      <c r="Q502" s="6"/>
      <c r="R502" s="6"/>
      <c r="S502" s="6"/>
      <c r="T502" s="6"/>
      <c r="U502" s="6"/>
      <c r="V502" s="6"/>
      <c r="W502" s="6"/>
      <c r="X502" s="6"/>
      <c r="Y502" s="6"/>
      <c r="Z502" s="6"/>
      <c r="AA502" s="6"/>
      <c r="AB502" s="6"/>
    </row>
    <row r="503" ht="16.5" customHeight="1">
      <c r="A503" s="6"/>
      <c r="B503" s="6"/>
      <c r="C503" s="6"/>
      <c r="D503" s="6"/>
      <c r="E503" s="6"/>
      <c r="F503" s="6"/>
      <c r="G503" s="6"/>
      <c r="H503" s="93"/>
      <c r="I503" s="93"/>
      <c r="J503" s="93"/>
      <c r="K503" s="93"/>
      <c r="L503" s="93"/>
      <c r="M503" s="6"/>
      <c r="N503" s="6"/>
      <c r="O503" s="6"/>
      <c r="P503" s="6"/>
      <c r="Q503" s="6"/>
      <c r="R503" s="6"/>
      <c r="S503" s="6"/>
      <c r="T503" s="6"/>
      <c r="U503" s="6"/>
      <c r="V503" s="6"/>
      <c r="W503" s="6"/>
      <c r="X503" s="6"/>
      <c r="Y503" s="6"/>
      <c r="Z503" s="6"/>
      <c r="AA503" s="6"/>
      <c r="AB503" s="6"/>
    </row>
    <row r="504" ht="16.5" customHeight="1">
      <c r="A504" s="6"/>
      <c r="B504" s="6"/>
      <c r="C504" s="6"/>
      <c r="D504" s="6"/>
      <c r="E504" s="6"/>
      <c r="F504" s="6"/>
      <c r="G504" s="6"/>
      <c r="H504" s="93"/>
      <c r="I504" s="93"/>
      <c r="J504" s="93"/>
      <c r="K504" s="93"/>
      <c r="L504" s="93"/>
      <c r="M504" s="6"/>
      <c r="N504" s="6"/>
      <c r="O504" s="6"/>
      <c r="P504" s="6"/>
      <c r="Q504" s="6"/>
      <c r="R504" s="6"/>
      <c r="S504" s="6"/>
      <c r="T504" s="6"/>
      <c r="U504" s="6"/>
      <c r="V504" s="6"/>
      <c r="W504" s="6"/>
      <c r="X504" s="6"/>
      <c r="Y504" s="6"/>
      <c r="Z504" s="6"/>
      <c r="AA504" s="6"/>
      <c r="AB504" s="6"/>
    </row>
    <row r="505" ht="16.5" customHeight="1">
      <c r="A505" s="6"/>
      <c r="B505" s="6"/>
      <c r="C505" s="6"/>
      <c r="D505" s="6"/>
      <c r="E505" s="6"/>
      <c r="F505" s="6"/>
      <c r="G505" s="6"/>
      <c r="H505" s="93"/>
      <c r="I505" s="93"/>
      <c r="J505" s="93"/>
      <c r="K505" s="93"/>
      <c r="L505" s="93"/>
      <c r="M505" s="6"/>
      <c r="N505" s="6"/>
      <c r="O505" s="6"/>
      <c r="P505" s="6"/>
      <c r="Q505" s="6"/>
      <c r="R505" s="6"/>
      <c r="S505" s="6"/>
      <c r="T505" s="6"/>
      <c r="U505" s="6"/>
      <c r="V505" s="6"/>
      <c r="W505" s="6"/>
      <c r="X505" s="6"/>
      <c r="Y505" s="6"/>
      <c r="Z505" s="6"/>
      <c r="AA505" s="6"/>
      <c r="AB505" s="6"/>
    </row>
    <row r="506" ht="16.5" customHeight="1">
      <c r="A506" s="6"/>
      <c r="B506" s="6"/>
      <c r="C506" s="6"/>
      <c r="D506" s="6"/>
      <c r="E506" s="6"/>
      <c r="F506" s="6"/>
      <c r="G506" s="6"/>
      <c r="H506" s="93"/>
      <c r="I506" s="93"/>
      <c r="J506" s="93"/>
      <c r="K506" s="93"/>
      <c r="L506" s="93"/>
      <c r="M506" s="6"/>
      <c r="N506" s="6"/>
      <c r="O506" s="6"/>
      <c r="P506" s="6"/>
      <c r="Q506" s="6"/>
      <c r="R506" s="6"/>
      <c r="S506" s="6"/>
      <c r="T506" s="6"/>
      <c r="U506" s="6"/>
      <c r="V506" s="6"/>
      <c r="W506" s="6"/>
      <c r="X506" s="6"/>
      <c r="Y506" s="6"/>
      <c r="Z506" s="6"/>
      <c r="AA506" s="6"/>
      <c r="AB506" s="6"/>
    </row>
    <row r="507" ht="16.5" customHeight="1">
      <c r="A507" s="6"/>
      <c r="B507" s="6"/>
      <c r="C507" s="6"/>
      <c r="D507" s="6"/>
      <c r="E507" s="6"/>
      <c r="F507" s="6"/>
      <c r="G507" s="6"/>
      <c r="H507" s="93"/>
      <c r="I507" s="93"/>
      <c r="J507" s="93"/>
      <c r="K507" s="93"/>
      <c r="L507" s="93"/>
      <c r="M507" s="6"/>
      <c r="N507" s="6"/>
      <c r="O507" s="6"/>
      <c r="P507" s="6"/>
      <c r="Q507" s="6"/>
      <c r="R507" s="6"/>
      <c r="S507" s="6"/>
      <c r="T507" s="6"/>
      <c r="U507" s="6"/>
      <c r="V507" s="6"/>
      <c r="W507" s="6"/>
      <c r="X507" s="6"/>
      <c r="Y507" s="6"/>
      <c r="Z507" s="6"/>
      <c r="AA507" s="6"/>
      <c r="AB507" s="6"/>
    </row>
    <row r="508" ht="16.5" customHeight="1">
      <c r="A508" s="6"/>
      <c r="B508" s="6"/>
      <c r="C508" s="6"/>
      <c r="D508" s="6"/>
      <c r="E508" s="6"/>
      <c r="F508" s="6"/>
      <c r="G508" s="6"/>
      <c r="H508" s="93"/>
      <c r="I508" s="93"/>
      <c r="J508" s="93"/>
      <c r="K508" s="93"/>
      <c r="L508" s="93"/>
      <c r="M508" s="6"/>
      <c r="N508" s="6"/>
      <c r="O508" s="6"/>
      <c r="P508" s="6"/>
      <c r="Q508" s="6"/>
      <c r="R508" s="6"/>
      <c r="S508" s="6"/>
      <c r="T508" s="6"/>
      <c r="U508" s="6"/>
      <c r="V508" s="6"/>
      <c r="W508" s="6"/>
      <c r="X508" s="6"/>
      <c r="Y508" s="6"/>
      <c r="Z508" s="6"/>
      <c r="AA508" s="6"/>
      <c r="AB508" s="6"/>
    </row>
    <row r="509" ht="16.5" customHeight="1">
      <c r="A509" s="6"/>
      <c r="B509" s="6"/>
      <c r="C509" s="6"/>
      <c r="D509" s="6"/>
      <c r="E509" s="6"/>
      <c r="F509" s="6"/>
      <c r="G509" s="6"/>
      <c r="H509" s="93"/>
      <c r="I509" s="93"/>
      <c r="J509" s="93"/>
      <c r="K509" s="93"/>
      <c r="L509" s="93"/>
      <c r="M509" s="6"/>
      <c r="N509" s="6"/>
      <c r="O509" s="6"/>
      <c r="P509" s="6"/>
      <c r="Q509" s="6"/>
      <c r="R509" s="6"/>
      <c r="S509" s="6"/>
      <c r="T509" s="6"/>
      <c r="U509" s="6"/>
      <c r="V509" s="6"/>
      <c r="W509" s="6"/>
      <c r="X509" s="6"/>
      <c r="Y509" s="6"/>
      <c r="Z509" s="6"/>
      <c r="AA509" s="6"/>
      <c r="AB509" s="6"/>
    </row>
    <row r="510" ht="16.5" customHeight="1">
      <c r="A510" s="6"/>
      <c r="B510" s="6"/>
      <c r="C510" s="6"/>
      <c r="D510" s="6"/>
      <c r="E510" s="6"/>
      <c r="F510" s="6"/>
      <c r="G510" s="6"/>
      <c r="H510" s="93"/>
      <c r="I510" s="93"/>
      <c r="J510" s="93"/>
      <c r="K510" s="93"/>
      <c r="L510" s="93"/>
      <c r="M510" s="6"/>
      <c r="N510" s="6"/>
      <c r="O510" s="6"/>
      <c r="P510" s="6"/>
      <c r="Q510" s="6"/>
      <c r="R510" s="6"/>
      <c r="S510" s="6"/>
      <c r="T510" s="6"/>
      <c r="U510" s="6"/>
      <c r="V510" s="6"/>
      <c r="W510" s="6"/>
      <c r="X510" s="6"/>
      <c r="Y510" s="6"/>
      <c r="Z510" s="6"/>
      <c r="AA510" s="6"/>
      <c r="AB510" s="6"/>
    </row>
    <row r="511" ht="16.5" customHeight="1">
      <c r="A511" s="6"/>
      <c r="B511" s="6"/>
      <c r="C511" s="6"/>
      <c r="D511" s="6"/>
      <c r="E511" s="6"/>
      <c r="F511" s="6"/>
      <c r="G511" s="6"/>
      <c r="H511" s="93"/>
      <c r="I511" s="93"/>
      <c r="J511" s="93"/>
      <c r="K511" s="93"/>
      <c r="L511" s="93"/>
      <c r="M511" s="6"/>
      <c r="N511" s="6"/>
      <c r="O511" s="6"/>
      <c r="P511" s="6"/>
      <c r="Q511" s="6"/>
      <c r="R511" s="6"/>
      <c r="S511" s="6"/>
      <c r="T511" s="6"/>
      <c r="U511" s="6"/>
      <c r="V511" s="6"/>
      <c r="W511" s="6"/>
      <c r="X511" s="6"/>
      <c r="Y511" s="6"/>
      <c r="Z511" s="6"/>
      <c r="AA511" s="6"/>
      <c r="AB511" s="6"/>
    </row>
    <row r="512" ht="16.5" customHeight="1">
      <c r="A512" s="6"/>
      <c r="B512" s="6"/>
      <c r="C512" s="6"/>
      <c r="D512" s="6"/>
      <c r="E512" s="6"/>
      <c r="F512" s="6"/>
      <c r="G512" s="6"/>
      <c r="H512" s="93"/>
      <c r="I512" s="93"/>
      <c r="J512" s="93"/>
      <c r="K512" s="93"/>
      <c r="L512" s="93"/>
      <c r="M512" s="6"/>
      <c r="N512" s="6"/>
      <c r="O512" s="6"/>
      <c r="P512" s="6"/>
      <c r="Q512" s="6"/>
      <c r="R512" s="6"/>
      <c r="S512" s="6"/>
      <c r="T512" s="6"/>
      <c r="U512" s="6"/>
      <c r="V512" s="6"/>
      <c r="W512" s="6"/>
      <c r="X512" s="6"/>
      <c r="Y512" s="6"/>
      <c r="Z512" s="6"/>
      <c r="AA512" s="6"/>
      <c r="AB512" s="6"/>
    </row>
    <row r="513" ht="16.5" customHeight="1">
      <c r="A513" s="6"/>
      <c r="B513" s="6"/>
      <c r="C513" s="6"/>
      <c r="D513" s="6"/>
      <c r="E513" s="6"/>
      <c r="F513" s="6"/>
      <c r="G513" s="6"/>
      <c r="H513" s="93"/>
      <c r="I513" s="93"/>
      <c r="J513" s="93"/>
      <c r="K513" s="93"/>
      <c r="L513" s="93"/>
      <c r="M513" s="6"/>
      <c r="N513" s="6"/>
      <c r="O513" s="6"/>
      <c r="P513" s="6"/>
      <c r="Q513" s="6"/>
      <c r="R513" s="6"/>
      <c r="S513" s="6"/>
      <c r="T513" s="6"/>
      <c r="U513" s="6"/>
      <c r="V513" s="6"/>
      <c r="W513" s="6"/>
      <c r="X513" s="6"/>
      <c r="Y513" s="6"/>
      <c r="Z513" s="6"/>
      <c r="AA513" s="6"/>
      <c r="AB513" s="6"/>
    </row>
    <row r="514" ht="16.5" customHeight="1">
      <c r="A514" s="6"/>
      <c r="B514" s="6"/>
      <c r="C514" s="6"/>
      <c r="D514" s="6"/>
      <c r="E514" s="6"/>
      <c r="F514" s="6"/>
      <c r="G514" s="6"/>
      <c r="H514" s="93"/>
      <c r="I514" s="93"/>
      <c r="J514" s="93"/>
      <c r="K514" s="93"/>
      <c r="L514" s="93"/>
      <c r="M514" s="6"/>
      <c r="N514" s="6"/>
      <c r="O514" s="6"/>
      <c r="P514" s="6"/>
      <c r="Q514" s="6"/>
      <c r="R514" s="6"/>
      <c r="S514" s="6"/>
      <c r="T514" s="6"/>
      <c r="U514" s="6"/>
      <c r="V514" s="6"/>
      <c r="W514" s="6"/>
      <c r="X514" s="6"/>
      <c r="Y514" s="6"/>
      <c r="Z514" s="6"/>
      <c r="AA514" s="6"/>
      <c r="AB514" s="6"/>
    </row>
    <row r="515" ht="16.5" customHeight="1">
      <c r="A515" s="6"/>
      <c r="B515" s="6"/>
      <c r="C515" s="6"/>
      <c r="D515" s="6"/>
      <c r="E515" s="6"/>
      <c r="F515" s="6"/>
      <c r="G515" s="6"/>
      <c r="H515" s="93"/>
      <c r="I515" s="93"/>
      <c r="J515" s="93"/>
      <c r="K515" s="93"/>
      <c r="L515" s="93"/>
      <c r="M515" s="6"/>
      <c r="N515" s="6"/>
      <c r="O515" s="6"/>
      <c r="P515" s="6"/>
      <c r="Q515" s="6"/>
      <c r="R515" s="6"/>
      <c r="S515" s="6"/>
      <c r="T515" s="6"/>
      <c r="U515" s="6"/>
      <c r="V515" s="6"/>
      <c r="W515" s="6"/>
      <c r="X515" s="6"/>
      <c r="Y515" s="6"/>
      <c r="Z515" s="6"/>
      <c r="AA515" s="6"/>
      <c r="AB515" s="6"/>
    </row>
    <row r="516" ht="16.5" customHeight="1">
      <c r="A516" s="6"/>
      <c r="B516" s="6"/>
      <c r="C516" s="6"/>
      <c r="D516" s="6"/>
      <c r="E516" s="6"/>
      <c r="F516" s="6"/>
      <c r="G516" s="6"/>
      <c r="H516" s="93"/>
      <c r="I516" s="93"/>
      <c r="J516" s="93"/>
      <c r="K516" s="93"/>
      <c r="L516" s="93"/>
      <c r="M516" s="6"/>
      <c r="N516" s="6"/>
      <c r="O516" s="6"/>
      <c r="P516" s="6"/>
      <c r="Q516" s="6"/>
      <c r="R516" s="6"/>
      <c r="S516" s="6"/>
      <c r="T516" s="6"/>
      <c r="U516" s="6"/>
      <c r="V516" s="6"/>
      <c r="W516" s="6"/>
      <c r="X516" s="6"/>
      <c r="Y516" s="6"/>
      <c r="Z516" s="6"/>
      <c r="AA516" s="6"/>
      <c r="AB516" s="6"/>
    </row>
    <row r="517" ht="16.5" customHeight="1">
      <c r="A517" s="6"/>
      <c r="B517" s="6"/>
      <c r="C517" s="6"/>
      <c r="D517" s="6"/>
      <c r="E517" s="6"/>
      <c r="F517" s="6"/>
      <c r="G517" s="6"/>
      <c r="H517" s="93"/>
      <c r="I517" s="93"/>
      <c r="J517" s="93"/>
      <c r="K517" s="93"/>
      <c r="L517" s="93"/>
      <c r="M517" s="6"/>
      <c r="N517" s="6"/>
      <c r="O517" s="6"/>
      <c r="P517" s="6"/>
      <c r="Q517" s="6"/>
      <c r="R517" s="6"/>
      <c r="S517" s="6"/>
      <c r="T517" s="6"/>
      <c r="U517" s="6"/>
      <c r="V517" s="6"/>
      <c r="W517" s="6"/>
      <c r="X517" s="6"/>
      <c r="Y517" s="6"/>
      <c r="Z517" s="6"/>
      <c r="AA517" s="6"/>
      <c r="AB517" s="6"/>
    </row>
    <row r="518" ht="16.5" customHeight="1">
      <c r="A518" s="6"/>
      <c r="B518" s="6"/>
      <c r="C518" s="6"/>
      <c r="D518" s="6"/>
      <c r="E518" s="6"/>
      <c r="F518" s="6"/>
      <c r="G518" s="6"/>
      <c r="H518" s="93"/>
      <c r="I518" s="93"/>
      <c r="J518" s="93"/>
      <c r="K518" s="93"/>
      <c r="L518" s="93"/>
      <c r="M518" s="6"/>
      <c r="N518" s="6"/>
      <c r="O518" s="6"/>
      <c r="P518" s="6"/>
      <c r="Q518" s="6"/>
      <c r="R518" s="6"/>
      <c r="S518" s="6"/>
      <c r="T518" s="6"/>
      <c r="U518" s="6"/>
      <c r="V518" s="6"/>
      <c r="W518" s="6"/>
      <c r="X518" s="6"/>
      <c r="Y518" s="6"/>
      <c r="Z518" s="6"/>
      <c r="AA518" s="6"/>
      <c r="AB518" s="6"/>
    </row>
    <row r="519" ht="16.5" customHeight="1">
      <c r="A519" s="6"/>
      <c r="B519" s="6"/>
      <c r="C519" s="6"/>
      <c r="D519" s="6"/>
      <c r="E519" s="6"/>
      <c r="F519" s="6"/>
      <c r="G519" s="6"/>
      <c r="H519" s="93"/>
      <c r="I519" s="93"/>
      <c r="J519" s="93"/>
      <c r="K519" s="93"/>
      <c r="L519" s="93"/>
      <c r="M519" s="6"/>
      <c r="N519" s="6"/>
      <c r="O519" s="6"/>
      <c r="P519" s="6"/>
      <c r="Q519" s="6"/>
      <c r="R519" s="6"/>
      <c r="S519" s="6"/>
      <c r="T519" s="6"/>
      <c r="U519" s="6"/>
      <c r="V519" s="6"/>
      <c r="W519" s="6"/>
      <c r="X519" s="6"/>
      <c r="Y519" s="6"/>
      <c r="Z519" s="6"/>
      <c r="AA519" s="6"/>
      <c r="AB519" s="6"/>
    </row>
    <row r="520" ht="16.5" customHeight="1">
      <c r="A520" s="6"/>
      <c r="B520" s="6"/>
      <c r="C520" s="6"/>
      <c r="D520" s="6"/>
      <c r="E520" s="6"/>
      <c r="F520" s="6"/>
      <c r="G520" s="6"/>
      <c r="H520" s="93"/>
      <c r="I520" s="93"/>
      <c r="J520" s="93"/>
      <c r="K520" s="93"/>
      <c r="L520" s="93"/>
      <c r="M520" s="6"/>
      <c r="N520" s="6"/>
      <c r="O520" s="6"/>
      <c r="P520" s="6"/>
      <c r="Q520" s="6"/>
      <c r="R520" s="6"/>
      <c r="S520" s="6"/>
      <c r="T520" s="6"/>
      <c r="U520" s="6"/>
      <c r="V520" s="6"/>
      <c r="W520" s="6"/>
      <c r="X520" s="6"/>
      <c r="Y520" s="6"/>
      <c r="Z520" s="6"/>
      <c r="AA520" s="6"/>
      <c r="AB520" s="6"/>
    </row>
    <row r="521" ht="16.5" customHeight="1">
      <c r="A521" s="6"/>
      <c r="B521" s="6"/>
      <c r="C521" s="6"/>
      <c r="D521" s="6"/>
      <c r="E521" s="6"/>
      <c r="F521" s="6"/>
      <c r="G521" s="6"/>
      <c r="H521" s="93"/>
      <c r="I521" s="93"/>
      <c r="J521" s="93"/>
      <c r="K521" s="93"/>
      <c r="L521" s="93"/>
      <c r="M521" s="6"/>
      <c r="N521" s="6"/>
      <c r="O521" s="6"/>
      <c r="P521" s="6"/>
      <c r="Q521" s="6"/>
      <c r="R521" s="6"/>
      <c r="S521" s="6"/>
      <c r="T521" s="6"/>
      <c r="U521" s="6"/>
      <c r="V521" s="6"/>
      <c r="W521" s="6"/>
      <c r="X521" s="6"/>
      <c r="Y521" s="6"/>
      <c r="Z521" s="6"/>
      <c r="AA521" s="6"/>
      <c r="AB521" s="6"/>
    </row>
    <row r="522" ht="16.5" customHeight="1">
      <c r="A522" s="6"/>
      <c r="B522" s="6"/>
      <c r="C522" s="6"/>
      <c r="D522" s="6"/>
      <c r="E522" s="6"/>
      <c r="F522" s="6"/>
      <c r="G522" s="6"/>
      <c r="H522" s="93"/>
      <c r="I522" s="93"/>
      <c r="J522" s="93"/>
      <c r="K522" s="93"/>
      <c r="L522" s="93"/>
      <c r="M522" s="6"/>
      <c r="N522" s="6"/>
      <c r="O522" s="6"/>
      <c r="P522" s="6"/>
      <c r="Q522" s="6"/>
      <c r="R522" s="6"/>
      <c r="S522" s="6"/>
      <c r="T522" s="6"/>
      <c r="U522" s="6"/>
      <c r="V522" s="6"/>
      <c r="W522" s="6"/>
      <c r="X522" s="6"/>
      <c r="Y522" s="6"/>
      <c r="Z522" s="6"/>
      <c r="AA522" s="6"/>
      <c r="AB522" s="6"/>
    </row>
    <row r="523" ht="16.5" customHeight="1">
      <c r="A523" s="6"/>
      <c r="B523" s="6"/>
      <c r="C523" s="6"/>
      <c r="D523" s="6"/>
      <c r="E523" s="6"/>
      <c r="F523" s="6"/>
      <c r="G523" s="6"/>
      <c r="H523" s="93"/>
      <c r="I523" s="93"/>
      <c r="J523" s="93"/>
      <c r="K523" s="93"/>
      <c r="L523" s="93"/>
      <c r="M523" s="6"/>
      <c r="N523" s="6"/>
      <c r="O523" s="6"/>
      <c r="P523" s="6"/>
      <c r="Q523" s="6"/>
      <c r="R523" s="6"/>
      <c r="S523" s="6"/>
      <c r="T523" s="6"/>
      <c r="U523" s="6"/>
      <c r="V523" s="6"/>
      <c r="W523" s="6"/>
      <c r="X523" s="6"/>
      <c r="Y523" s="6"/>
      <c r="Z523" s="6"/>
      <c r="AA523" s="6"/>
      <c r="AB523" s="6"/>
    </row>
    <row r="524" ht="16.5" customHeight="1">
      <c r="A524" s="6"/>
      <c r="B524" s="6"/>
      <c r="C524" s="6"/>
      <c r="D524" s="6"/>
      <c r="E524" s="6"/>
      <c r="F524" s="6"/>
      <c r="G524" s="6"/>
      <c r="H524" s="93"/>
      <c r="I524" s="93"/>
      <c r="J524" s="93"/>
      <c r="K524" s="93"/>
      <c r="L524" s="93"/>
      <c r="M524" s="6"/>
      <c r="N524" s="6"/>
      <c r="O524" s="6"/>
      <c r="P524" s="6"/>
      <c r="Q524" s="6"/>
      <c r="R524" s="6"/>
      <c r="S524" s="6"/>
      <c r="T524" s="6"/>
      <c r="U524" s="6"/>
      <c r="V524" s="6"/>
      <c r="W524" s="6"/>
      <c r="X524" s="6"/>
      <c r="Y524" s="6"/>
      <c r="Z524" s="6"/>
      <c r="AA524" s="6"/>
      <c r="AB524" s="6"/>
    </row>
    <row r="525" ht="16.5" customHeight="1">
      <c r="A525" s="6"/>
      <c r="B525" s="6"/>
      <c r="C525" s="6"/>
      <c r="D525" s="6"/>
      <c r="E525" s="6"/>
      <c r="F525" s="6"/>
      <c r="G525" s="6"/>
      <c r="H525" s="93"/>
      <c r="I525" s="93"/>
      <c r="J525" s="93"/>
      <c r="K525" s="93"/>
      <c r="L525" s="93"/>
      <c r="M525" s="6"/>
      <c r="N525" s="6"/>
      <c r="O525" s="6"/>
      <c r="P525" s="6"/>
      <c r="Q525" s="6"/>
      <c r="R525" s="6"/>
      <c r="S525" s="6"/>
      <c r="T525" s="6"/>
      <c r="U525" s="6"/>
      <c r="V525" s="6"/>
      <c r="W525" s="6"/>
      <c r="X525" s="6"/>
      <c r="Y525" s="6"/>
      <c r="Z525" s="6"/>
      <c r="AA525" s="6"/>
      <c r="AB525" s="6"/>
    </row>
    <row r="526" ht="16.5" customHeight="1">
      <c r="A526" s="6"/>
      <c r="B526" s="6"/>
      <c r="C526" s="6"/>
      <c r="D526" s="6"/>
      <c r="E526" s="6"/>
      <c r="F526" s="6"/>
      <c r="G526" s="6"/>
      <c r="H526" s="93"/>
      <c r="I526" s="93"/>
      <c r="J526" s="93"/>
      <c r="K526" s="93"/>
      <c r="L526" s="93"/>
      <c r="M526" s="6"/>
      <c r="N526" s="6"/>
      <c r="O526" s="6"/>
      <c r="P526" s="6"/>
      <c r="Q526" s="6"/>
      <c r="R526" s="6"/>
      <c r="S526" s="6"/>
      <c r="T526" s="6"/>
      <c r="U526" s="6"/>
      <c r="V526" s="6"/>
      <c r="W526" s="6"/>
      <c r="X526" s="6"/>
      <c r="Y526" s="6"/>
      <c r="Z526" s="6"/>
      <c r="AA526" s="6"/>
      <c r="AB526" s="6"/>
    </row>
    <row r="527" ht="16.5" customHeight="1">
      <c r="A527" s="6"/>
      <c r="B527" s="6"/>
      <c r="C527" s="6"/>
      <c r="D527" s="6"/>
      <c r="E527" s="6"/>
      <c r="F527" s="6"/>
      <c r="G527" s="6"/>
      <c r="H527" s="93"/>
      <c r="I527" s="93"/>
      <c r="J527" s="93"/>
      <c r="K527" s="93"/>
      <c r="L527" s="93"/>
      <c r="M527" s="6"/>
      <c r="N527" s="6"/>
      <c r="O527" s="6"/>
      <c r="P527" s="6"/>
      <c r="Q527" s="6"/>
      <c r="R527" s="6"/>
      <c r="S527" s="6"/>
      <c r="T527" s="6"/>
      <c r="U527" s="6"/>
      <c r="V527" s="6"/>
      <c r="W527" s="6"/>
      <c r="X527" s="6"/>
      <c r="Y527" s="6"/>
      <c r="Z527" s="6"/>
      <c r="AA527" s="6"/>
      <c r="AB527" s="6"/>
    </row>
    <row r="528" ht="16.5" customHeight="1">
      <c r="A528" s="6"/>
      <c r="B528" s="6"/>
      <c r="C528" s="6"/>
      <c r="D528" s="6"/>
      <c r="E528" s="6"/>
      <c r="F528" s="6"/>
      <c r="G528" s="6"/>
      <c r="H528" s="93"/>
      <c r="I528" s="93"/>
      <c r="J528" s="93"/>
      <c r="K528" s="93"/>
      <c r="L528" s="93"/>
      <c r="M528" s="6"/>
      <c r="N528" s="6"/>
      <c r="O528" s="6"/>
      <c r="P528" s="6"/>
      <c r="Q528" s="6"/>
      <c r="R528" s="6"/>
      <c r="S528" s="6"/>
      <c r="T528" s="6"/>
      <c r="U528" s="6"/>
      <c r="V528" s="6"/>
      <c r="W528" s="6"/>
      <c r="X528" s="6"/>
      <c r="Y528" s="6"/>
      <c r="Z528" s="6"/>
      <c r="AA528" s="6"/>
      <c r="AB528" s="6"/>
    </row>
    <row r="529" ht="16.5" customHeight="1">
      <c r="A529" s="6"/>
      <c r="B529" s="6"/>
      <c r="C529" s="6"/>
      <c r="D529" s="6"/>
      <c r="E529" s="6"/>
      <c r="F529" s="6"/>
      <c r="G529" s="6"/>
      <c r="H529" s="93"/>
      <c r="I529" s="93"/>
      <c r="J529" s="93"/>
      <c r="K529" s="93"/>
      <c r="L529" s="93"/>
      <c r="M529" s="6"/>
      <c r="N529" s="6"/>
      <c r="O529" s="6"/>
      <c r="P529" s="6"/>
      <c r="Q529" s="6"/>
      <c r="R529" s="6"/>
      <c r="S529" s="6"/>
      <c r="T529" s="6"/>
      <c r="U529" s="6"/>
      <c r="V529" s="6"/>
      <c r="W529" s="6"/>
      <c r="X529" s="6"/>
      <c r="Y529" s="6"/>
      <c r="Z529" s="6"/>
      <c r="AA529" s="6"/>
      <c r="AB529" s="6"/>
    </row>
    <row r="530" ht="16.5" customHeight="1">
      <c r="A530" s="6"/>
      <c r="B530" s="6"/>
      <c r="C530" s="6"/>
      <c r="D530" s="6"/>
      <c r="E530" s="6"/>
      <c r="F530" s="6"/>
      <c r="G530" s="6"/>
      <c r="H530" s="93"/>
      <c r="I530" s="93"/>
      <c r="J530" s="93"/>
      <c r="K530" s="93"/>
      <c r="L530" s="93"/>
      <c r="M530" s="6"/>
      <c r="N530" s="6"/>
      <c r="O530" s="6"/>
      <c r="P530" s="6"/>
      <c r="Q530" s="6"/>
      <c r="R530" s="6"/>
      <c r="S530" s="6"/>
      <c r="T530" s="6"/>
      <c r="U530" s="6"/>
      <c r="V530" s="6"/>
      <c r="W530" s="6"/>
      <c r="X530" s="6"/>
      <c r="Y530" s="6"/>
      <c r="Z530" s="6"/>
      <c r="AA530" s="6"/>
      <c r="AB530" s="6"/>
    </row>
    <row r="531" ht="16.5" customHeight="1">
      <c r="A531" s="6"/>
      <c r="B531" s="6"/>
      <c r="C531" s="6"/>
      <c r="D531" s="6"/>
      <c r="E531" s="6"/>
      <c r="F531" s="6"/>
      <c r="G531" s="6"/>
      <c r="H531" s="93"/>
      <c r="I531" s="93"/>
      <c r="J531" s="93"/>
      <c r="K531" s="93"/>
      <c r="L531" s="93"/>
      <c r="M531" s="6"/>
      <c r="N531" s="6"/>
      <c r="O531" s="6"/>
      <c r="P531" s="6"/>
      <c r="Q531" s="6"/>
      <c r="R531" s="6"/>
      <c r="S531" s="6"/>
      <c r="T531" s="6"/>
      <c r="U531" s="6"/>
      <c r="V531" s="6"/>
      <c r="W531" s="6"/>
      <c r="X531" s="6"/>
      <c r="Y531" s="6"/>
      <c r="Z531" s="6"/>
      <c r="AA531" s="6"/>
      <c r="AB531" s="6"/>
    </row>
    <row r="532" ht="16.5" customHeight="1">
      <c r="A532" s="6"/>
      <c r="B532" s="6"/>
      <c r="C532" s="6"/>
      <c r="D532" s="6"/>
      <c r="E532" s="6"/>
      <c r="F532" s="6"/>
      <c r="G532" s="6"/>
      <c r="H532" s="93"/>
      <c r="I532" s="93"/>
      <c r="J532" s="93"/>
      <c r="K532" s="93"/>
      <c r="L532" s="93"/>
      <c r="M532" s="6"/>
      <c r="N532" s="6"/>
      <c r="O532" s="6"/>
      <c r="P532" s="6"/>
      <c r="Q532" s="6"/>
      <c r="R532" s="6"/>
      <c r="S532" s="6"/>
      <c r="T532" s="6"/>
      <c r="U532" s="6"/>
      <c r="V532" s="6"/>
      <c r="W532" s="6"/>
      <c r="X532" s="6"/>
      <c r="Y532" s="6"/>
      <c r="Z532" s="6"/>
      <c r="AA532" s="6"/>
      <c r="AB532" s="6"/>
    </row>
    <row r="533" ht="16.5" customHeight="1">
      <c r="A533" s="6"/>
      <c r="B533" s="6"/>
      <c r="C533" s="6"/>
      <c r="D533" s="6"/>
      <c r="E533" s="6"/>
      <c r="F533" s="6"/>
      <c r="G533" s="6"/>
      <c r="H533" s="93"/>
      <c r="I533" s="93"/>
      <c r="J533" s="93"/>
      <c r="K533" s="93"/>
      <c r="L533" s="93"/>
      <c r="M533" s="6"/>
      <c r="N533" s="6"/>
      <c r="O533" s="6"/>
      <c r="P533" s="6"/>
      <c r="Q533" s="6"/>
      <c r="R533" s="6"/>
      <c r="S533" s="6"/>
      <c r="T533" s="6"/>
      <c r="U533" s="6"/>
      <c r="V533" s="6"/>
      <c r="W533" s="6"/>
      <c r="X533" s="6"/>
      <c r="Y533" s="6"/>
      <c r="Z533" s="6"/>
      <c r="AA533" s="6"/>
      <c r="AB533" s="6"/>
    </row>
    <row r="534" ht="16.5" customHeight="1">
      <c r="A534" s="6"/>
      <c r="B534" s="6"/>
      <c r="C534" s="6"/>
      <c r="D534" s="6"/>
      <c r="E534" s="6"/>
      <c r="F534" s="6"/>
      <c r="G534" s="6"/>
      <c r="H534" s="93"/>
      <c r="I534" s="93"/>
      <c r="J534" s="93"/>
      <c r="K534" s="93"/>
      <c r="L534" s="93"/>
      <c r="M534" s="6"/>
      <c r="N534" s="6"/>
      <c r="O534" s="6"/>
      <c r="P534" s="6"/>
      <c r="Q534" s="6"/>
      <c r="R534" s="6"/>
      <c r="S534" s="6"/>
      <c r="T534" s="6"/>
      <c r="U534" s="6"/>
      <c r="V534" s="6"/>
      <c r="W534" s="6"/>
      <c r="X534" s="6"/>
      <c r="Y534" s="6"/>
      <c r="Z534" s="6"/>
      <c r="AA534" s="6"/>
      <c r="AB534" s="6"/>
    </row>
    <row r="535" ht="16.5" customHeight="1">
      <c r="A535" s="6"/>
      <c r="B535" s="6"/>
      <c r="C535" s="6"/>
      <c r="D535" s="6"/>
      <c r="E535" s="6"/>
      <c r="F535" s="6"/>
      <c r="G535" s="6"/>
      <c r="H535" s="93"/>
      <c r="I535" s="93"/>
      <c r="J535" s="93"/>
      <c r="K535" s="93"/>
      <c r="L535" s="93"/>
      <c r="M535" s="6"/>
      <c r="N535" s="6"/>
      <c r="O535" s="6"/>
      <c r="P535" s="6"/>
      <c r="Q535" s="6"/>
      <c r="R535" s="6"/>
      <c r="S535" s="6"/>
      <c r="T535" s="6"/>
      <c r="U535" s="6"/>
      <c r="V535" s="6"/>
      <c r="W535" s="6"/>
      <c r="X535" s="6"/>
      <c r="Y535" s="6"/>
      <c r="Z535" s="6"/>
      <c r="AA535" s="6"/>
      <c r="AB535" s="6"/>
    </row>
    <row r="536" ht="16.5" customHeight="1">
      <c r="A536" s="6"/>
      <c r="B536" s="6"/>
      <c r="C536" s="6"/>
      <c r="D536" s="6"/>
      <c r="E536" s="6"/>
      <c r="F536" s="6"/>
      <c r="G536" s="6"/>
      <c r="H536" s="93"/>
      <c r="I536" s="93"/>
      <c r="J536" s="93"/>
      <c r="K536" s="93"/>
      <c r="L536" s="93"/>
      <c r="M536" s="6"/>
      <c r="N536" s="6"/>
      <c r="O536" s="6"/>
      <c r="P536" s="6"/>
      <c r="Q536" s="6"/>
      <c r="R536" s="6"/>
      <c r="S536" s="6"/>
      <c r="T536" s="6"/>
      <c r="U536" s="6"/>
      <c r="V536" s="6"/>
      <c r="W536" s="6"/>
      <c r="X536" s="6"/>
      <c r="Y536" s="6"/>
      <c r="Z536" s="6"/>
      <c r="AA536" s="6"/>
      <c r="AB536" s="6"/>
    </row>
    <row r="537" ht="16.5" customHeight="1">
      <c r="A537" s="6"/>
      <c r="B537" s="6"/>
      <c r="C537" s="6"/>
      <c r="D537" s="6"/>
      <c r="E537" s="6"/>
      <c r="F537" s="6"/>
      <c r="G537" s="6"/>
      <c r="H537" s="93"/>
      <c r="I537" s="93"/>
      <c r="J537" s="93"/>
      <c r="K537" s="93"/>
      <c r="L537" s="93"/>
      <c r="M537" s="6"/>
      <c r="N537" s="6"/>
      <c r="O537" s="6"/>
      <c r="P537" s="6"/>
      <c r="Q537" s="6"/>
      <c r="R537" s="6"/>
      <c r="S537" s="6"/>
      <c r="T537" s="6"/>
      <c r="U537" s="6"/>
      <c r="V537" s="6"/>
      <c r="W537" s="6"/>
      <c r="X537" s="6"/>
      <c r="Y537" s="6"/>
      <c r="Z537" s="6"/>
      <c r="AA537" s="6"/>
      <c r="AB537" s="6"/>
    </row>
    <row r="538" ht="16.5" customHeight="1">
      <c r="A538" s="6"/>
      <c r="B538" s="6"/>
      <c r="C538" s="6"/>
      <c r="D538" s="6"/>
      <c r="E538" s="6"/>
      <c r="F538" s="6"/>
      <c r="G538" s="6"/>
      <c r="H538" s="93"/>
      <c r="I538" s="93"/>
      <c r="J538" s="93"/>
      <c r="K538" s="93"/>
      <c r="L538" s="93"/>
      <c r="M538" s="6"/>
      <c r="N538" s="6"/>
      <c r="O538" s="6"/>
      <c r="P538" s="6"/>
      <c r="Q538" s="6"/>
      <c r="R538" s="6"/>
      <c r="S538" s="6"/>
      <c r="T538" s="6"/>
      <c r="U538" s="6"/>
      <c r="V538" s="6"/>
      <c r="W538" s="6"/>
      <c r="X538" s="6"/>
      <c r="Y538" s="6"/>
      <c r="Z538" s="6"/>
      <c r="AA538" s="6"/>
      <c r="AB538" s="6"/>
    </row>
    <row r="539" ht="16.5" customHeight="1">
      <c r="A539" s="6"/>
      <c r="B539" s="6"/>
      <c r="C539" s="6"/>
      <c r="D539" s="6"/>
      <c r="E539" s="6"/>
      <c r="F539" s="6"/>
      <c r="G539" s="6"/>
      <c r="H539" s="93"/>
      <c r="I539" s="93"/>
      <c r="J539" s="93"/>
      <c r="K539" s="93"/>
      <c r="L539" s="93"/>
      <c r="M539" s="6"/>
      <c r="N539" s="6"/>
      <c r="O539" s="6"/>
      <c r="P539" s="6"/>
      <c r="Q539" s="6"/>
      <c r="R539" s="6"/>
      <c r="S539" s="6"/>
      <c r="T539" s="6"/>
      <c r="U539" s="6"/>
      <c r="V539" s="6"/>
      <c r="W539" s="6"/>
      <c r="X539" s="6"/>
      <c r="Y539" s="6"/>
      <c r="Z539" s="6"/>
      <c r="AA539" s="6"/>
      <c r="AB539" s="6"/>
    </row>
    <row r="540" ht="16.5" customHeight="1">
      <c r="A540" s="6"/>
      <c r="B540" s="6"/>
      <c r="C540" s="6"/>
      <c r="D540" s="6"/>
      <c r="E540" s="6"/>
      <c r="F540" s="6"/>
      <c r="G540" s="6"/>
      <c r="H540" s="93"/>
      <c r="I540" s="93"/>
      <c r="J540" s="93"/>
      <c r="K540" s="93"/>
      <c r="L540" s="93"/>
      <c r="M540" s="6"/>
      <c r="N540" s="6"/>
      <c r="O540" s="6"/>
      <c r="P540" s="6"/>
      <c r="Q540" s="6"/>
      <c r="R540" s="6"/>
      <c r="S540" s="6"/>
      <c r="T540" s="6"/>
      <c r="U540" s="6"/>
      <c r="V540" s="6"/>
      <c r="W540" s="6"/>
      <c r="X540" s="6"/>
      <c r="Y540" s="6"/>
      <c r="Z540" s="6"/>
      <c r="AA540" s="6"/>
      <c r="AB540" s="6"/>
    </row>
    <row r="541" ht="16.5" customHeight="1">
      <c r="A541" s="6"/>
      <c r="B541" s="6"/>
      <c r="C541" s="6"/>
      <c r="D541" s="6"/>
      <c r="E541" s="6"/>
      <c r="F541" s="6"/>
      <c r="G541" s="6"/>
      <c r="H541" s="93"/>
      <c r="I541" s="93"/>
      <c r="J541" s="93"/>
      <c r="K541" s="93"/>
      <c r="L541" s="93"/>
      <c r="M541" s="6"/>
      <c r="N541" s="6"/>
      <c r="O541" s="6"/>
      <c r="P541" s="6"/>
      <c r="Q541" s="6"/>
      <c r="R541" s="6"/>
      <c r="S541" s="6"/>
      <c r="T541" s="6"/>
      <c r="U541" s="6"/>
      <c r="V541" s="6"/>
      <c r="W541" s="6"/>
      <c r="X541" s="6"/>
      <c r="Y541" s="6"/>
      <c r="Z541" s="6"/>
      <c r="AA541" s="6"/>
      <c r="AB541" s="6"/>
    </row>
    <row r="542" ht="16.5" customHeight="1">
      <c r="A542" s="6"/>
      <c r="B542" s="6"/>
      <c r="C542" s="6"/>
      <c r="D542" s="6"/>
      <c r="E542" s="6"/>
      <c r="F542" s="6"/>
      <c r="G542" s="6"/>
      <c r="H542" s="93"/>
      <c r="I542" s="93"/>
      <c r="J542" s="93"/>
      <c r="K542" s="93"/>
      <c r="L542" s="93"/>
      <c r="M542" s="6"/>
      <c r="N542" s="6"/>
      <c r="O542" s="6"/>
      <c r="P542" s="6"/>
      <c r="Q542" s="6"/>
      <c r="R542" s="6"/>
      <c r="S542" s="6"/>
      <c r="T542" s="6"/>
      <c r="U542" s="6"/>
      <c r="V542" s="6"/>
      <c r="W542" s="6"/>
      <c r="X542" s="6"/>
      <c r="Y542" s="6"/>
      <c r="Z542" s="6"/>
      <c r="AA542" s="6"/>
      <c r="AB542" s="6"/>
    </row>
    <row r="543" ht="16.5" customHeight="1">
      <c r="A543" s="6"/>
      <c r="B543" s="6"/>
      <c r="C543" s="6"/>
      <c r="D543" s="6"/>
      <c r="E543" s="6"/>
      <c r="F543" s="6"/>
      <c r="G543" s="6"/>
      <c r="H543" s="93"/>
      <c r="I543" s="93"/>
      <c r="J543" s="93"/>
      <c r="K543" s="93"/>
      <c r="L543" s="93"/>
      <c r="M543" s="6"/>
      <c r="N543" s="6"/>
      <c r="O543" s="6"/>
      <c r="P543" s="6"/>
      <c r="Q543" s="6"/>
      <c r="R543" s="6"/>
      <c r="S543" s="6"/>
      <c r="T543" s="6"/>
      <c r="U543" s="6"/>
      <c r="V543" s="6"/>
      <c r="W543" s="6"/>
      <c r="X543" s="6"/>
      <c r="Y543" s="6"/>
      <c r="Z543" s="6"/>
      <c r="AA543" s="6"/>
      <c r="AB543" s="6"/>
    </row>
    <row r="544" ht="16.5" customHeight="1">
      <c r="A544" s="6"/>
      <c r="B544" s="6"/>
      <c r="C544" s="6"/>
      <c r="D544" s="6"/>
      <c r="E544" s="6"/>
      <c r="F544" s="6"/>
      <c r="G544" s="6"/>
      <c r="H544" s="93"/>
      <c r="I544" s="93"/>
      <c r="J544" s="93"/>
      <c r="K544" s="93"/>
      <c r="L544" s="93"/>
      <c r="M544" s="6"/>
      <c r="N544" s="6"/>
      <c r="O544" s="6"/>
      <c r="P544" s="6"/>
      <c r="Q544" s="6"/>
      <c r="R544" s="6"/>
      <c r="S544" s="6"/>
      <c r="T544" s="6"/>
      <c r="U544" s="6"/>
      <c r="V544" s="6"/>
      <c r="W544" s="6"/>
      <c r="X544" s="6"/>
      <c r="Y544" s="6"/>
      <c r="Z544" s="6"/>
      <c r="AA544" s="6"/>
      <c r="AB544" s="6"/>
    </row>
    <row r="545" ht="16.5" customHeight="1">
      <c r="A545" s="6"/>
      <c r="B545" s="6"/>
      <c r="C545" s="6"/>
      <c r="D545" s="6"/>
      <c r="E545" s="6"/>
      <c r="F545" s="6"/>
      <c r="G545" s="6"/>
      <c r="H545" s="93"/>
      <c r="I545" s="93"/>
      <c r="J545" s="93"/>
      <c r="K545" s="93"/>
      <c r="L545" s="93"/>
      <c r="M545" s="6"/>
      <c r="N545" s="6"/>
      <c r="O545" s="6"/>
      <c r="P545" s="6"/>
      <c r="Q545" s="6"/>
      <c r="R545" s="6"/>
      <c r="S545" s="6"/>
      <c r="T545" s="6"/>
      <c r="U545" s="6"/>
      <c r="V545" s="6"/>
      <c r="W545" s="6"/>
      <c r="X545" s="6"/>
      <c r="Y545" s="6"/>
      <c r="Z545" s="6"/>
      <c r="AA545" s="6"/>
      <c r="AB545" s="6"/>
    </row>
    <row r="546" ht="16.5" customHeight="1">
      <c r="A546" s="6"/>
      <c r="B546" s="6"/>
      <c r="C546" s="6"/>
      <c r="D546" s="6"/>
      <c r="E546" s="6"/>
      <c r="F546" s="6"/>
      <c r="G546" s="6"/>
      <c r="H546" s="93"/>
      <c r="I546" s="93"/>
      <c r="J546" s="93"/>
      <c r="K546" s="93"/>
      <c r="L546" s="93"/>
      <c r="M546" s="6"/>
      <c r="N546" s="6"/>
      <c r="O546" s="6"/>
      <c r="P546" s="6"/>
      <c r="Q546" s="6"/>
      <c r="R546" s="6"/>
      <c r="S546" s="6"/>
      <c r="T546" s="6"/>
      <c r="U546" s="6"/>
      <c r="V546" s="6"/>
      <c r="W546" s="6"/>
      <c r="X546" s="6"/>
      <c r="Y546" s="6"/>
      <c r="Z546" s="6"/>
      <c r="AA546" s="6"/>
      <c r="AB546" s="6"/>
    </row>
    <row r="547" ht="16.5" customHeight="1">
      <c r="A547" s="6"/>
      <c r="B547" s="6"/>
      <c r="C547" s="6"/>
      <c r="D547" s="6"/>
      <c r="E547" s="6"/>
      <c r="F547" s="6"/>
      <c r="G547" s="6"/>
      <c r="H547" s="93"/>
      <c r="I547" s="93"/>
      <c r="J547" s="93"/>
      <c r="K547" s="93"/>
      <c r="L547" s="93"/>
      <c r="M547" s="6"/>
      <c r="N547" s="6"/>
      <c r="O547" s="6"/>
      <c r="P547" s="6"/>
      <c r="Q547" s="6"/>
      <c r="R547" s="6"/>
      <c r="S547" s="6"/>
      <c r="T547" s="6"/>
      <c r="U547" s="6"/>
      <c r="V547" s="6"/>
      <c r="W547" s="6"/>
      <c r="X547" s="6"/>
      <c r="Y547" s="6"/>
      <c r="Z547" s="6"/>
      <c r="AA547" s="6"/>
      <c r="AB547" s="6"/>
    </row>
    <row r="548" ht="16.5" customHeight="1">
      <c r="A548" s="6"/>
      <c r="B548" s="6"/>
      <c r="C548" s="6"/>
      <c r="D548" s="6"/>
      <c r="E548" s="6"/>
      <c r="F548" s="6"/>
      <c r="G548" s="6"/>
      <c r="H548" s="93"/>
      <c r="I548" s="93"/>
      <c r="J548" s="93"/>
      <c r="K548" s="93"/>
      <c r="L548" s="93"/>
      <c r="M548" s="6"/>
      <c r="N548" s="6"/>
      <c r="O548" s="6"/>
      <c r="P548" s="6"/>
      <c r="Q548" s="6"/>
      <c r="R548" s="6"/>
      <c r="S548" s="6"/>
      <c r="T548" s="6"/>
      <c r="U548" s="6"/>
      <c r="V548" s="6"/>
      <c r="W548" s="6"/>
      <c r="X548" s="6"/>
      <c r="Y548" s="6"/>
      <c r="Z548" s="6"/>
      <c r="AA548" s="6"/>
      <c r="AB548" s="6"/>
    </row>
    <row r="549" ht="16.5" customHeight="1">
      <c r="A549" s="6"/>
      <c r="B549" s="6"/>
      <c r="C549" s="6"/>
      <c r="D549" s="6"/>
      <c r="E549" s="6"/>
      <c r="F549" s="6"/>
      <c r="G549" s="6"/>
      <c r="H549" s="93"/>
      <c r="I549" s="93"/>
      <c r="J549" s="93"/>
      <c r="K549" s="93"/>
      <c r="L549" s="93"/>
      <c r="M549" s="6"/>
      <c r="N549" s="6"/>
      <c r="O549" s="6"/>
      <c r="P549" s="6"/>
      <c r="Q549" s="6"/>
      <c r="R549" s="6"/>
      <c r="S549" s="6"/>
      <c r="T549" s="6"/>
      <c r="U549" s="6"/>
      <c r="V549" s="6"/>
      <c r="W549" s="6"/>
      <c r="X549" s="6"/>
      <c r="Y549" s="6"/>
      <c r="Z549" s="6"/>
      <c r="AA549" s="6"/>
      <c r="AB549" s="6"/>
    </row>
    <row r="550" ht="16.5" customHeight="1">
      <c r="A550" s="6"/>
      <c r="B550" s="6"/>
      <c r="C550" s="6"/>
      <c r="D550" s="6"/>
      <c r="E550" s="6"/>
      <c r="F550" s="6"/>
      <c r="G550" s="6"/>
      <c r="H550" s="93"/>
      <c r="I550" s="93"/>
      <c r="J550" s="93"/>
      <c r="K550" s="93"/>
      <c r="L550" s="93"/>
      <c r="M550" s="6"/>
      <c r="N550" s="6"/>
      <c r="O550" s="6"/>
      <c r="P550" s="6"/>
      <c r="Q550" s="6"/>
      <c r="R550" s="6"/>
      <c r="S550" s="6"/>
      <c r="T550" s="6"/>
      <c r="U550" s="6"/>
      <c r="V550" s="6"/>
      <c r="W550" s="6"/>
      <c r="X550" s="6"/>
      <c r="Y550" s="6"/>
      <c r="Z550" s="6"/>
      <c r="AA550" s="6"/>
      <c r="AB550" s="6"/>
    </row>
    <row r="551" ht="16.5" customHeight="1">
      <c r="A551" s="6"/>
      <c r="B551" s="6"/>
      <c r="C551" s="6"/>
      <c r="D551" s="6"/>
      <c r="E551" s="6"/>
      <c r="F551" s="6"/>
      <c r="G551" s="6"/>
      <c r="H551" s="93"/>
      <c r="I551" s="93"/>
      <c r="J551" s="93"/>
      <c r="K551" s="93"/>
      <c r="L551" s="93"/>
      <c r="M551" s="6"/>
      <c r="N551" s="6"/>
      <c r="O551" s="6"/>
      <c r="P551" s="6"/>
      <c r="Q551" s="6"/>
      <c r="R551" s="6"/>
      <c r="S551" s="6"/>
      <c r="T551" s="6"/>
      <c r="U551" s="6"/>
      <c r="V551" s="6"/>
      <c r="W551" s="6"/>
      <c r="X551" s="6"/>
      <c r="Y551" s="6"/>
      <c r="Z551" s="6"/>
      <c r="AA551" s="6"/>
      <c r="AB551" s="6"/>
    </row>
    <row r="552" ht="16.5" customHeight="1">
      <c r="A552" s="6"/>
      <c r="B552" s="6"/>
      <c r="C552" s="6"/>
      <c r="D552" s="6"/>
      <c r="E552" s="6"/>
      <c r="F552" s="6"/>
      <c r="G552" s="6"/>
      <c r="H552" s="93"/>
      <c r="I552" s="93"/>
      <c r="J552" s="93"/>
      <c r="K552" s="93"/>
      <c r="L552" s="93"/>
      <c r="M552" s="6"/>
      <c r="N552" s="6"/>
      <c r="O552" s="6"/>
      <c r="P552" s="6"/>
      <c r="Q552" s="6"/>
      <c r="R552" s="6"/>
      <c r="S552" s="6"/>
      <c r="T552" s="6"/>
      <c r="U552" s="6"/>
      <c r="V552" s="6"/>
      <c r="W552" s="6"/>
      <c r="X552" s="6"/>
      <c r="Y552" s="6"/>
      <c r="Z552" s="6"/>
      <c r="AA552" s="6"/>
      <c r="AB552" s="6"/>
    </row>
    <row r="553" ht="16.5" customHeight="1">
      <c r="A553" s="6"/>
      <c r="B553" s="6"/>
      <c r="C553" s="6"/>
      <c r="D553" s="6"/>
      <c r="E553" s="6"/>
      <c r="F553" s="6"/>
      <c r="G553" s="6"/>
      <c r="H553" s="93"/>
      <c r="I553" s="93"/>
      <c r="J553" s="93"/>
      <c r="K553" s="93"/>
      <c r="L553" s="93"/>
      <c r="M553" s="6"/>
      <c r="N553" s="6"/>
      <c r="O553" s="6"/>
      <c r="P553" s="6"/>
      <c r="Q553" s="6"/>
      <c r="R553" s="6"/>
      <c r="S553" s="6"/>
      <c r="T553" s="6"/>
      <c r="U553" s="6"/>
      <c r="V553" s="6"/>
      <c r="W553" s="6"/>
      <c r="X553" s="6"/>
      <c r="Y553" s="6"/>
      <c r="Z553" s="6"/>
      <c r="AA553" s="6"/>
      <c r="AB553" s="6"/>
    </row>
    <row r="554" ht="16.5" customHeight="1">
      <c r="A554" s="6"/>
      <c r="B554" s="6"/>
      <c r="C554" s="6"/>
      <c r="D554" s="6"/>
      <c r="E554" s="6"/>
      <c r="F554" s="6"/>
      <c r="G554" s="6"/>
      <c r="H554" s="93"/>
      <c r="I554" s="93"/>
      <c r="J554" s="93"/>
      <c r="K554" s="93"/>
      <c r="L554" s="93"/>
      <c r="M554" s="6"/>
      <c r="N554" s="6"/>
      <c r="O554" s="6"/>
      <c r="P554" s="6"/>
      <c r="Q554" s="6"/>
      <c r="R554" s="6"/>
      <c r="S554" s="6"/>
      <c r="T554" s="6"/>
      <c r="U554" s="6"/>
      <c r="V554" s="6"/>
      <c r="W554" s="6"/>
      <c r="X554" s="6"/>
      <c r="Y554" s="6"/>
      <c r="Z554" s="6"/>
      <c r="AA554" s="6"/>
      <c r="AB554" s="6"/>
    </row>
    <row r="555" ht="16.5" customHeight="1">
      <c r="A555" s="6"/>
      <c r="B555" s="6"/>
      <c r="C555" s="6"/>
      <c r="D555" s="6"/>
      <c r="E555" s="6"/>
      <c r="F555" s="6"/>
      <c r="G555" s="6"/>
      <c r="H555" s="93"/>
      <c r="I555" s="93"/>
      <c r="J555" s="93"/>
      <c r="K555" s="93"/>
      <c r="L555" s="93"/>
      <c r="M555" s="6"/>
      <c r="N555" s="6"/>
      <c r="O555" s="6"/>
      <c r="P555" s="6"/>
      <c r="Q555" s="6"/>
      <c r="R555" s="6"/>
      <c r="S555" s="6"/>
      <c r="T555" s="6"/>
      <c r="U555" s="6"/>
      <c r="V555" s="6"/>
      <c r="W555" s="6"/>
      <c r="X555" s="6"/>
      <c r="Y555" s="6"/>
      <c r="Z555" s="6"/>
      <c r="AA555" s="6"/>
      <c r="AB555" s="6"/>
    </row>
    <row r="556" ht="16.5" customHeight="1">
      <c r="A556" s="6"/>
      <c r="B556" s="6"/>
      <c r="C556" s="6"/>
      <c r="D556" s="6"/>
      <c r="E556" s="6"/>
      <c r="F556" s="6"/>
      <c r="G556" s="6"/>
      <c r="H556" s="93"/>
      <c r="I556" s="93"/>
      <c r="J556" s="93"/>
      <c r="K556" s="93"/>
      <c r="L556" s="93"/>
      <c r="M556" s="6"/>
      <c r="N556" s="6"/>
      <c r="O556" s="6"/>
      <c r="P556" s="6"/>
      <c r="Q556" s="6"/>
      <c r="R556" s="6"/>
      <c r="S556" s="6"/>
      <c r="T556" s="6"/>
      <c r="U556" s="6"/>
      <c r="V556" s="6"/>
      <c r="W556" s="6"/>
      <c r="X556" s="6"/>
      <c r="Y556" s="6"/>
      <c r="Z556" s="6"/>
      <c r="AA556" s="6"/>
      <c r="AB556" s="6"/>
    </row>
    <row r="557" ht="16.5" customHeight="1">
      <c r="A557" s="6"/>
      <c r="B557" s="6"/>
      <c r="C557" s="6"/>
      <c r="D557" s="6"/>
      <c r="E557" s="6"/>
      <c r="F557" s="6"/>
      <c r="G557" s="6"/>
      <c r="H557" s="93"/>
      <c r="I557" s="93"/>
      <c r="J557" s="93"/>
      <c r="K557" s="93"/>
      <c r="L557" s="93"/>
      <c r="M557" s="6"/>
      <c r="N557" s="6"/>
      <c r="O557" s="6"/>
      <c r="P557" s="6"/>
      <c r="Q557" s="6"/>
      <c r="R557" s="6"/>
      <c r="S557" s="6"/>
      <c r="T557" s="6"/>
      <c r="U557" s="6"/>
      <c r="V557" s="6"/>
      <c r="W557" s="6"/>
      <c r="X557" s="6"/>
      <c r="Y557" s="6"/>
      <c r="Z557" s="6"/>
      <c r="AA557" s="6"/>
      <c r="AB557" s="6"/>
    </row>
    <row r="558" ht="16.5" customHeight="1">
      <c r="A558" s="6"/>
      <c r="B558" s="6"/>
      <c r="C558" s="6"/>
      <c r="D558" s="6"/>
      <c r="E558" s="6"/>
      <c r="F558" s="6"/>
      <c r="G558" s="6"/>
      <c r="H558" s="93"/>
      <c r="I558" s="93"/>
      <c r="J558" s="93"/>
      <c r="K558" s="93"/>
      <c r="L558" s="93"/>
      <c r="M558" s="6"/>
      <c r="N558" s="6"/>
      <c r="O558" s="6"/>
      <c r="P558" s="6"/>
      <c r="Q558" s="6"/>
      <c r="R558" s="6"/>
      <c r="S558" s="6"/>
      <c r="T558" s="6"/>
      <c r="U558" s="6"/>
      <c r="V558" s="6"/>
      <c r="W558" s="6"/>
      <c r="X558" s="6"/>
      <c r="Y558" s="6"/>
      <c r="Z558" s="6"/>
      <c r="AA558" s="6"/>
      <c r="AB558" s="6"/>
    </row>
    <row r="559" ht="16.5" customHeight="1">
      <c r="A559" s="6"/>
      <c r="B559" s="6"/>
      <c r="C559" s="6"/>
      <c r="D559" s="6"/>
      <c r="E559" s="6"/>
      <c r="F559" s="6"/>
      <c r="G559" s="6"/>
      <c r="H559" s="93"/>
      <c r="I559" s="93"/>
      <c r="J559" s="93"/>
      <c r="K559" s="93"/>
      <c r="L559" s="93"/>
      <c r="M559" s="6"/>
      <c r="N559" s="6"/>
      <c r="O559" s="6"/>
      <c r="P559" s="6"/>
      <c r="Q559" s="6"/>
      <c r="R559" s="6"/>
      <c r="S559" s="6"/>
      <c r="T559" s="6"/>
      <c r="U559" s="6"/>
      <c r="V559" s="6"/>
      <c r="W559" s="6"/>
      <c r="X559" s="6"/>
      <c r="Y559" s="6"/>
      <c r="Z559" s="6"/>
      <c r="AA559" s="6"/>
      <c r="AB559" s="6"/>
    </row>
    <row r="560" ht="16.5" customHeight="1">
      <c r="A560" s="6"/>
      <c r="B560" s="6"/>
      <c r="C560" s="6"/>
      <c r="D560" s="6"/>
      <c r="E560" s="6"/>
      <c r="F560" s="6"/>
      <c r="G560" s="6"/>
      <c r="H560" s="93"/>
      <c r="I560" s="93"/>
      <c r="J560" s="93"/>
      <c r="K560" s="93"/>
      <c r="L560" s="93"/>
      <c r="M560" s="6"/>
      <c r="N560" s="6"/>
      <c r="O560" s="6"/>
      <c r="P560" s="6"/>
      <c r="Q560" s="6"/>
      <c r="R560" s="6"/>
      <c r="S560" s="6"/>
      <c r="T560" s="6"/>
      <c r="U560" s="6"/>
      <c r="V560" s="6"/>
      <c r="W560" s="6"/>
      <c r="X560" s="6"/>
      <c r="Y560" s="6"/>
      <c r="Z560" s="6"/>
      <c r="AA560" s="6"/>
      <c r="AB560" s="6"/>
    </row>
    <row r="561" ht="16.5" customHeight="1">
      <c r="A561" s="6"/>
      <c r="B561" s="6"/>
      <c r="C561" s="6"/>
      <c r="D561" s="6"/>
      <c r="E561" s="6"/>
      <c r="F561" s="6"/>
      <c r="G561" s="6"/>
      <c r="H561" s="93"/>
      <c r="I561" s="93"/>
      <c r="J561" s="93"/>
      <c r="K561" s="93"/>
      <c r="L561" s="93"/>
      <c r="M561" s="6"/>
      <c r="N561" s="6"/>
      <c r="O561" s="6"/>
      <c r="P561" s="6"/>
      <c r="Q561" s="6"/>
      <c r="R561" s="6"/>
      <c r="S561" s="6"/>
      <c r="T561" s="6"/>
      <c r="U561" s="6"/>
      <c r="V561" s="6"/>
      <c r="W561" s="6"/>
      <c r="X561" s="6"/>
      <c r="Y561" s="6"/>
      <c r="Z561" s="6"/>
      <c r="AA561" s="6"/>
      <c r="AB561" s="6"/>
    </row>
    <row r="562" ht="16.5" customHeight="1">
      <c r="A562" s="6"/>
      <c r="B562" s="6"/>
      <c r="C562" s="6"/>
      <c r="D562" s="6"/>
      <c r="E562" s="6"/>
      <c r="F562" s="6"/>
      <c r="G562" s="6"/>
      <c r="H562" s="93"/>
      <c r="I562" s="93"/>
      <c r="J562" s="93"/>
      <c r="K562" s="93"/>
      <c r="L562" s="93"/>
      <c r="M562" s="6"/>
      <c r="N562" s="6"/>
      <c r="O562" s="6"/>
      <c r="P562" s="6"/>
      <c r="Q562" s="6"/>
      <c r="R562" s="6"/>
      <c r="S562" s="6"/>
      <c r="T562" s="6"/>
      <c r="U562" s="6"/>
      <c r="V562" s="6"/>
      <c r="W562" s="6"/>
      <c r="X562" s="6"/>
      <c r="Y562" s="6"/>
      <c r="Z562" s="6"/>
      <c r="AA562" s="6"/>
      <c r="AB562" s="6"/>
    </row>
    <row r="563" ht="16.5" customHeight="1">
      <c r="A563" s="6"/>
      <c r="B563" s="6"/>
      <c r="C563" s="6"/>
      <c r="D563" s="6"/>
      <c r="E563" s="6"/>
      <c r="F563" s="6"/>
      <c r="G563" s="6"/>
      <c r="H563" s="93"/>
      <c r="I563" s="93"/>
      <c r="J563" s="93"/>
      <c r="K563" s="93"/>
      <c r="L563" s="93"/>
      <c r="M563" s="6"/>
      <c r="N563" s="6"/>
      <c r="O563" s="6"/>
      <c r="P563" s="6"/>
      <c r="Q563" s="6"/>
      <c r="R563" s="6"/>
      <c r="S563" s="6"/>
      <c r="T563" s="6"/>
      <c r="U563" s="6"/>
      <c r="V563" s="6"/>
      <c r="W563" s="6"/>
      <c r="X563" s="6"/>
      <c r="Y563" s="6"/>
      <c r="Z563" s="6"/>
      <c r="AA563" s="6"/>
      <c r="AB563" s="6"/>
    </row>
    <row r="564" ht="16.5" customHeight="1">
      <c r="A564" s="6"/>
      <c r="B564" s="6"/>
      <c r="C564" s="6"/>
      <c r="D564" s="6"/>
      <c r="E564" s="6"/>
      <c r="F564" s="6"/>
      <c r="G564" s="6"/>
      <c r="H564" s="93"/>
      <c r="I564" s="93"/>
      <c r="J564" s="93"/>
      <c r="K564" s="93"/>
      <c r="L564" s="93"/>
      <c r="M564" s="6"/>
      <c r="N564" s="6"/>
      <c r="O564" s="6"/>
      <c r="P564" s="6"/>
      <c r="Q564" s="6"/>
      <c r="R564" s="6"/>
      <c r="S564" s="6"/>
      <c r="T564" s="6"/>
      <c r="U564" s="6"/>
      <c r="V564" s="6"/>
      <c r="W564" s="6"/>
      <c r="X564" s="6"/>
      <c r="Y564" s="6"/>
      <c r="Z564" s="6"/>
      <c r="AA564" s="6"/>
      <c r="AB564" s="6"/>
    </row>
    <row r="565" ht="16.5" customHeight="1">
      <c r="A565" s="6"/>
      <c r="B565" s="6"/>
      <c r="C565" s="6"/>
      <c r="D565" s="6"/>
      <c r="E565" s="6"/>
      <c r="F565" s="6"/>
      <c r="G565" s="6"/>
      <c r="H565" s="93"/>
      <c r="I565" s="93"/>
      <c r="J565" s="93"/>
      <c r="K565" s="93"/>
      <c r="L565" s="93"/>
      <c r="M565" s="6"/>
      <c r="N565" s="6"/>
      <c r="O565" s="6"/>
      <c r="P565" s="6"/>
      <c r="Q565" s="6"/>
      <c r="R565" s="6"/>
      <c r="S565" s="6"/>
      <c r="T565" s="6"/>
      <c r="U565" s="6"/>
      <c r="V565" s="6"/>
      <c r="W565" s="6"/>
      <c r="X565" s="6"/>
      <c r="Y565" s="6"/>
      <c r="Z565" s="6"/>
      <c r="AA565" s="6"/>
      <c r="AB565" s="6"/>
    </row>
    <row r="566" ht="16.5" customHeight="1">
      <c r="A566" s="6"/>
      <c r="B566" s="6"/>
      <c r="C566" s="6"/>
      <c r="D566" s="6"/>
      <c r="E566" s="6"/>
      <c r="F566" s="6"/>
      <c r="G566" s="6"/>
      <c r="H566" s="93"/>
      <c r="I566" s="93"/>
      <c r="J566" s="93"/>
      <c r="K566" s="93"/>
      <c r="L566" s="93"/>
      <c r="M566" s="6"/>
      <c r="N566" s="6"/>
      <c r="O566" s="6"/>
      <c r="P566" s="6"/>
      <c r="Q566" s="6"/>
      <c r="R566" s="6"/>
      <c r="S566" s="6"/>
      <c r="T566" s="6"/>
      <c r="U566" s="6"/>
      <c r="V566" s="6"/>
      <c r="W566" s="6"/>
      <c r="X566" s="6"/>
      <c r="Y566" s="6"/>
      <c r="Z566" s="6"/>
      <c r="AA566" s="6"/>
      <c r="AB566" s="6"/>
    </row>
    <row r="567" ht="16.5" customHeight="1">
      <c r="A567" s="6"/>
      <c r="B567" s="6"/>
      <c r="C567" s="6"/>
      <c r="D567" s="6"/>
      <c r="E567" s="6"/>
      <c r="F567" s="6"/>
      <c r="G567" s="6"/>
      <c r="H567" s="93"/>
      <c r="I567" s="93"/>
      <c r="J567" s="93"/>
      <c r="K567" s="93"/>
      <c r="L567" s="93"/>
      <c r="M567" s="6"/>
      <c r="N567" s="6"/>
      <c r="O567" s="6"/>
      <c r="P567" s="6"/>
      <c r="Q567" s="6"/>
      <c r="R567" s="6"/>
      <c r="S567" s="6"/>
      <c r="T567" s="6"/>
      <c r="U567" s="6"/>
      <c r="V567" s="6"/>
      <c r="W567" s="6"/>
      <c r="X567" s="6"/>
      <c r="Y567" s="6"/>
      <c r="Z567" s="6"/>
      <c r="AA567" s="6"/>
      <c r="AB567" s="6"/>
    </row>
    <row r="568" ht="16.5" customHeight="1">
      <c r="A568" s="6"/>
      <c r="B568" s="6"/>
      <c r="C568" s="6"/>
      <c r="D568" s="6"/>
      <c r="E568" s="6"/>
      <c r="F568" s="6"/>
      <c r="G568" s="6"/>
      <c r="H568" s="93"/>
      <c r="I568" s="93"/>
      <c r="J568" s="93"/>
      <c r="K568" s="93"/>
      <c r="L568" s="93"/>
      <c r="M568" s="6"/>
      <c r="N568" s="6"/>
      <c r="O568" s="6"/>
      <c r="P568" s="6"/>
      <c r="Q568" s="6"/>
      <c r="R568" s="6"/>
      <c r="S568" s="6"/>
      <c r="T568" s="6"/>
      <c r="U568" s="6"/>
      <c r="V568" s="6"/>
      <c r="W568" s="6"/>
      <c r="X568" s="6"/>
      <c r="Y568" s="6"/>
      <c r="Z568" s="6"/>
      <c r="AA568" s="6"/>
      <c r="AB568" s="6"/>
    </row>
    <row r="569" ht="16.5" customHeight="1">
      <c r="A569" s="6"/>
      <c r="B569" s="6"/>
      <c r="C569" s="6"/>
      <c r="D569" s="6"/>
      <c r="E569" s="6"/>
      <c r="F569" s="6"/>
      <c r="G569" s="6"/>
      <c r="H569" s="93"/>
      <c r="I569" s="93"/>
      <c r="J569" s="93"/>
      <c r="K569" s="93"/>
      <c r="L569" s="93"/>
      <c r="M569" s="6"/>
      <c r="N569" s="6"/>
      <c r="O569" s="6"/>
      <c r="P569" s="6"/>
      <c r="Q569" s="6"/>
      <c r="R569" s="6"/>
      <c r="S569" s="6"/>
      <c r="T569" s="6"/>
      <c r="U569" s="6"/>
      <c r="V569" s="6"/>
      <c r="W569" s="6"/>
      <c r="X569" s="6"/>
      <c r="Y569" s="6"/>
      <c r="Z569" s="6"/>
      <c r="AA569" s="6"/>
      <c r="AB569" s="6"/>
    </row>
    <row r="570" ht="16.5" customHeight="1">
      <c r="A570" s="6"/>
      <c r="B570" s="6"/>
      <c r="C570" s="6"/>
      <c r="D570" s="6"/>
      <c r="E570" s="6"/>
      <c r="F570" s="6"/>
      <c r="G570" s="6"/>
      <c r="H570" s="93"/>
      <c r="I570" s="93"/>
      <c r="J570" s="93"/>
      <c r="K570" s="93"/>
      <c r="L570" s="93"/>
      <c r="M570" s="6"/>
      <c r="N570" s="6"/>
      <c r="O570" s="6"/>
      <c r="P570" s="6"/>
      <c r="Q570" s="6"/>
      <c r="R570" s="6"/>
      <c r="S570" s="6"/>
      <c r="T570" s="6"/>
      <c r="U570" s="6"/>
      <c r="V570" s="6"/>
      <c r="W570" s="6"/>
      <c r="X570" s="6"/>
      <c r="Y570" s="6"/>
      <c r="Z570" s="6"/>
      <c r="AA570" s="6"/>
      <c r="AB570" s="6"/>
    </row>
    <row r="571" ht="16.5" customHeight="1">
      <c r="A571" s="6"/>
      <c r="B571" s="6"/>
      <c r="C571" s="6"/>
      <c r="D571" s="6"/>
      <c r="E571" s="6"/>
      <c r="F571" s="6"/>
      <c r="G571" s="6"/>
      <c r="H571" s="93"/>
      <c r="I571" s="93"/>
      <c r="J571" s="93"/>
      <c r="K571" s="93"/>
      <c r="L571" s="93"/>
      <c r="M571" s="6"/>
      <c r="N571" s="6"/>
      <c r="O571" s="6"/>
      <c r="P571" s="6"/>
      <c r="Q571" s="6"/>
      <c r="R571" s="6"/>
      <c r="S571" s="6"/>
      <c r="T571" s="6"/>
      <c r="U571" s="6"/>
      <c r="V571" s="6"/>
      <c r="W571" s="6"/>
      <c r="X571" s="6"/>
      <c r="Y571" s="6"/>
      <c r="Z571" s="6"/>
      <c r="AA571" s="6"/>
      <c r="AB571" s="6"/>
    </row>
    <row r="572" ht="16.5" customHeight="1">
      <c r="A572" s="6"/>
      <c r="B572" s="6"/>
      <c r="C572" s="6"/>
      <c r="D572" s="6"/>
      <c r="E572" s="6"/>
      <c r="F572" s="6"/>
      <c r="G572" s="6"/>
      <c r="H572" s="93"/>
      <c r="I572" s="93"/>
      <c r="J572" s="93"/>
      <c r="K572" s="93"/>
      <c r="L572" s="93"/>
      <c r="M572" s="6"/>
      <c r="N572" s="6"/>
      <c r="O572" s="6"/>
      <c r="P572" s="6"/>
      <c r="Q572" s="6"/>
      <c r="R572" s="6"/>
      <c r="S572" s="6"/>
      <c r="T572" s="6"/>
      <c r="U572" s="6"/>
      <c r="V572" s="6"/>
      <c r="W572" s="6"/>
      <c r="X572" s="6"/>
      <c r="Y572" s="6"/>
      <c r="Z572" s="6"/>
      <c r="AA572" s="6"/>
      <c r="AB572" s="6"/>
    </row>
    <row r="573" ht="16.5" customHeight="1">
      <c r="A573" s="6"/>
      <c r="B573" s="6"/>
      <c r="C573" s="6"/>
      <c r="D573" s="6"/>
      <c r="E573" s="6"/>
      <c r="F573" s="6"/>
      <c r="G573" s="6"/>
      <c r="H573" s="93"/>
      <c r="I573" s="93"/>
      <c r="J573" s="93"/>
      <c r="K573" s="93"/>
      <c r="L573" s="93"/>
      <c r="M573" s="6"/>
      <c r="N573" s="6"/>
      <c r="O573" s="6"/>
      <c r="P573" s="6"/>
      <c r="Q573" s="6"/>
      <c r="R573" s="6"/>
      <c r="S573" s="6"/>
      <c r="T573" s="6"/>
      <c r="U573" s="6"/>
      <c r="V573" s="6"/>
      <c r="W573" s="6"/>
      <c r="X573" s="6"/>
      <c r="Y573" s="6"/>
      <c r="Z573" s="6"/>
      <c r="AA573" s="6"/>
      <c r="AB573" s="6"/>
    </row>
    <row r="574" ht="16.5" customHeight="1">
      <c r="A574" s="6"/>
      <c r="B574" s="6"/>
      <c r="C574" s="6"/>
      <c r="D574" s="6"/>
      <c r="E574" s="6"/>
      <c r="F574" s="6"/>
      <c r="G574" s="6"/>
      <c r="H574" s="93"/>
      <c r="I574" s="93"/>
      <c r="J574" s="93"/>
      <c r="K574" s="93"/>
      <c r="L574" s="93"/>
      <c r="M574" s="6"/>
      <c r="N574" s="6"/>
      <c r="O574" s="6"/>
      <c r="P574" s="6"/>
      <c r="Q574" s="6"/>
      <c r="R574" s="6"/>
      <c r="S574" s="6"/>
      <c r="T574" s="6"/>
      <c r="U574" s="6"/>
      <c r="V574" s="6"/>
      <c r="W574" s="6"/>
      <c r="X574" s="6"/>
      <c r="Y574" s="6"/>
      <c r="Z574" s="6"/>
      <c r="AA574" s="6"/>
      <c r="AB574" s="6"/>
    </row>
    <row r="575" ht="16.5" customHeight="1">
      <c r="A575" s="6"/>
      <c r="B575" s="6"/>
      <c r="C575" s="6"/>
      <c r="D575" s="6"/>
      <c r="E575" s="6"/>
      <c r="F575" s="6"/>
      <c r="G575" s="6"/>
      <c r="H575" s="93"/>
      <c r="I575" s="93"/>
      <c r="J575" s="93"/>
      <c r="K575" s="93"/>
      <c r="L575" s="93"/>
      <c r="M575" s="6"/>
      <c r="N575" s="6"/>
      <c r="O575" s="6"/>
      <c r="P575" s="6"/>
      <c r="Q575" s="6"/>
      <c r="R575" s="6"/>
      <c r="S575" s="6"/>
      <c r="T575" s="6"/>
      <c r="U575" s="6"/>
      <c r="V575" s="6"/>
      <c r="W575" s="6"/>
      <c r="X575" s="6"/>
      <c r="Y575" s="6"/>
      <c r="Z575" s="6"/>
      <c r="AA575" s="6"/>
      <c r="AB575" s="6"/>
    </row>
    <row r="576" ht="16.5" customHeight="1">
      <c r="A576" s="6"/>
      <c r="B576" s="6"/>
      <c r="C576" s="6"/>
      <c r="D576" s="6"/>
      <c r="E576" s="6"/>
      <c r="F576" s="6"/>
      <c r="G576" s="6"/>
      <c r="H576" s="93"/>
      <c r="I576" s="93"/>
      <c r="J576" s="93"/>
      <c r="K576" s="93"/>
      <c r="L576" s="93"/>
      <c r="M576" s="6"/>
      <c r="N576" s="6"/>
      <c r="O576" s="6"/>
      <c r="P576" s="6"/>
      <c r="Q576" s="6"/>
      <c r="R576" s="6"/>
      <c r="S576" s="6"/>
      <c r="T576" s="6"/>
      <c r="U576" s="6"/>
      <c r="V576" s="6"/>
      <c r="W576" s="6"/>
      <c r="X576" s="6"/>
      <c r="Y576" s="6"/>
      <c r="Z576" s="6"/>
      <c r="AA576" s="6"/>
      <c r="AB576" s="6"/>
    </row>
    <row r="577" ht="16.5" customHeight="1">
      <c r="A577" s="6"/>
      <c r="B577" s="6"/>
      <c r="C577" s="6"/>
      <c r="D577" s="6"/>
      <c r="E577" s="6"/>
      <c r="F577" s="6"/>
      <c r="G577" s="6"/>
      <c r="H577" s="93"/>
      <c r="I577" s="93"/>
      <c r="J577" s="93"/>
      <c r="K577" s="93"/>
      <c r="L577" s="93"/>
      <c r="M577" s="6"/>
      <c r="N577" s="6"/>
      <c r="O577" s="6"/>
      <c r="P577" s="6"/>
      <c r="Q577" s="6"/>
      <c r="R577" s="6"/>
      <c r="S577" s="6"/>
      <c r="T577" s="6"/>
      <c r="U577" s="6"/>
      <c r="V577" s="6"/>
      <c r="W577" s="6"/>
      <c r="X577" s="6"/>
      <c r="Y577" s="6"/>
      <c r="Z577" s="6"/>
      <c r="AA577" s="6"/>
      <c r="AB577" s="6"/>
    </row>
    <row r="578" ht="16.5" customHeight="1">
      <c r="A578" s="6"/>
      <c r="B578" s="6"/>
      <c r="C578" s="6"/>
      <c r="D578" s="6"/>
      <c r="E578" s="6"/>
      <c r="F578" s="6"/>
      <c r="G578" s="6"/>
      <c r="H578" s="93"/>
      <c r="I578" s="93"/>
      <c r="J578" s="93"/>
      <c r="K578" s="93"/>
      <c r="L578" s="93"/>
      <c r="M578" s="6"/>
      <c r="N578" s="6"/>
      <c r="O578" s="6"/>
      <c r="P578" s="6"/>
      <c r="Q578" s="6"/>
      <c r="R578" s="6"/>
      <c r="S578" s="6"/>
      <c r="T578" s="6"/>
      <c r="U578" s="6"/>
      <c r="V578" s="6"/>
      <c r="W578" s="6"/>
      <c r="X578" s="6"/>
      <c r="Y578" s="6"/>
      <c r="Z578" s="6"/>
      <c r="AA578" s="6"/>
      <c r="AB578" s="6"/>
    </row>
    <row r="579" ht="16.5" customHeight="1">
      <c r="A579" s="6"/>
      <c r="B579" s="6"/>
      <c r="C579" s="6"/>
      <c r="D579" s="6"/>
      <c r="E579" s="6"/>
      <c r="F579" s="6"/>
      <c r="G579" s="6"/>
      <c r="H579" s="93"/>
      <c r="I579" s="93"/>
      <c r="J579" s="93"/>
      <c r="K579" s="93"/>
      <c r="L579" s="93"/>
      <c r="M579" s="6"/>
      <c r="N579" s="6"/>
      <c r="O579" s="6"/>
      <c r="P579" s="6"/>
      <c r="Q579" s="6"/>
      <c r="R579" s="6"/>
      <c r="S579" s="6"/>
      <c r="T579" s="6"/>
      <c r="U579" s="6"/>
      <c r="V579" s="6"/>
      <c r="W579" s="6"/>
      <c r="X579" s="6"/>
      <c r="Y579" s="6"/>
      <c r="Z579" s="6"/>
      <c r="AA579" s="6"/>
      <c r="AB579" s="6"/>
    </row>
    <row r="580" ht="16.5" customHeight="1">
      <c r="A580" s="6"/>
      <c r="B580" s="6"/>
      <c r="C580" s="6"/>
      <c r="D580" s="6"/>
      <c r="E580" s="6"/>
      <c r="F580" s="6"/>
      <c r="G580" s="6"/>
      <c r="H580" s="93"/>
      <c r="I580" s="93"/>
      <c r="J580" s="93"/>
      <c r="K580" s="93"/>
      <c r="L580" s="93"/>
      <c r="M580" s="6"/>
      <c r="N580" s="6"/>
      <c r="O580" s="6"/>
      <c r="P580" s="6"/>
      <c r="Q580" s="6"/>
      <c r="R580" s="6"/>
      <c r="S580" s="6"/>
      <c r="T580" s="6"/>
      <c r="U580" s="6"/>
      <c r="V580" s="6"/>
      <c r="W580" s="6"/>
      <c r="X580" s="6"/>
      <c r="Y580" s="6"/>
      <c r="Z580" s="6"/>
      <c r="AA580" s="6"/>
      <c r="AB580" s="6"/>
    </row>
    <row r="581" ht="16.5" customHeight="1">
      <c r="A581" s="6"/>
      <c r="B581" s="6"/>
      <c r="C581" s="6"/>
      <c r="D581" s="6"/>
      <c r="E581" s="6"/>
      <c r="F581" s="6"/>
      <c r="G581" s="6"/>
      <c r="H581" s="93"/>
      <c r="I581" s="93"/>
      <c r="J581" s="93"/>
      <c r="K581" s="93"/>
      <c r="L581" s="93"/>
      <c r="M581" s="6"/>
      <c r="N581" s="6"/>
      <c r="O581" s="6"/>
      <c r="P581" s="6"/>
      <c r="Q581" s="6"/>
      <c r="R581" s="6"/>
      <c r="S581" s="6"/>
      <c r="T581" s="6"/>
      <c r="U581" s="6"/>
      <c r="V581" s="6"/>
      <c r="W581" s="6"/>
      <c r="X581" s="6"/>
      <c r="Y581" s="6"/>
      <c r="Z581" s="6"/>
      <c r="AA581" s="6"/>
      <c r="AB581" s="6"/>
    </row>
    <row r="582" ht="16.5" customHeight="1">
      <c r="A582" s="6"/>
      <c r="B582" s="6"/>
      <c r="C582" s="6"/>
      <c r="D582" s="6"/>
      <c r="E582" s="6"/>
      <c r="F582" s="6"/>
      <c r="G582" s="6"/>
      <c r="H582" s="93"/>
      <c r="I582" s="93"/>
      <c r="J582" s="93"/>
      <c r="K582" s="93"/>
      <c r="L582" s="93"/>
      <c r="M582" s="6"/>
      <c r="N582" s="6"/>
      <c r="O582" s="6"/>
      <c r="P582" s="6"/>
      <c r="Q582" s="6"/>
      <c r="R582" s="6"/>
      <c r="S582" s="6"/>
      <c r="T582" s="6"/>
      <c r="U582" s="6"/>
      <c r="V582" s="6"/>
      <c r="W582" s="6"/>
      <c r="X582" s="6"/>
      <c r="Y582" s="6"/>
      <c r="Z582" s="6"/>
      <c r="AA582" s="6"/>
      <c r="AB582" s="6"/>
    </row>
    <row r="583" ht="16.5" customHeight="1">
      <c r="A583" s="6"/>
      <c r="B583" s="6"/>
      <c r="C583" s="6"/>
      <c r="D583" s="6"/>
      <c r="E583" s="6"/>
      <c r="F583" s="6"/>
      <c r="G583" s="6"/>
      <c r="H583" s="93"/>
      <c r="I583" s="93"/>
      <c r="J583" s="93"/>
      <c r="K583" s="93"/>
      <c r="L583" s="93"/>
      <c r="M583" s="6"/>
      <c r="N583" s="6"/>
      <c r="O583" s="6"/>
      <c r="P583" s="6"/>
      <c r="Q583" s="6"/>
      <c r="R583" s="6"/>
      <c r="S583" s="6"/>
      <c r="T583" s="6"/>
      <c r="U583" s="6"/>
      <c r="V583" s="6"/>
      <c r="W583" s="6"/>
      <c r="X583" s="6"/>
      <c r="Y583" s="6"/>
      <c r="Z583" s="6"/>
      <c r="AA583" s="6"/>
      <c r="AB583" s="6"/>
    </row>
    <row r="584" ht="16.5" customHeight="1">
      <c r="A584" s="6"/>
      <c r="B584" s="6"/>
      <c r="C584" s="6"/>
      <c r="D584" s="6"/>
      <c r="E584" s="6"/>
      <c r="F584" s="6"/>
      <c r="G584" s="6"/>
      <c r="H584" s="93"/>
      <c r="I584" s="93"/>
      <c r="J584" s="93"/>
      <c r="K584" s="93"/>
      <c r="L584" s="93"/>
      <c r="M584" s="6"/>
      <c r="N584" s="6"/>
      <c r="O584" s="6"/>
      <c r="P584" s="6"/>
      <c r="Q584" s="6"/>
      <c r="R584" s="6"/>
      <c r="S584" s="6"/>
      <c r="T584" s="6"/>
      <c r="U584" s="6"/>
      <c r="V584" s="6"/>
      <c r="W584" s="6"/>
      <c r="X584" s="6"/>
      <c r="Y584" s="6"/>
      <c r="Z584" s="6"/>
      <c r="AA584" s="6"/>
      <c r="AB584" s="6"/>
    </row>
    <row r="585" ht="16.5" customHeight="1">
      <c r="A585" s="6"/>
      <c r="B585" s="6"/>
      <c r="C585" s="6"/>
      <c r="D585" s="6"/>
      <c r="E585" s="6"/>
      <c r="F585" s="6"/>
      <c r="G585" s="6"/>
      <c r="H585" s="93"/>
      <c r="I585" s="93"/>
      <c r="J585" s="93"/>
      <c r="K585" s="93"/>
      <c r="L585" s="93"/>
      <c r="M585" s="6"/>
      <c r="N585" s="6"/>
      <c r="O585" s="6"/>
      <c r="P585" s="6"/>
      <c r="Q585" s="6"/>
      <c r="R585" s="6"/>
      <c r="S585" s="6"/>
      <c r="T585" s="6"/>
      <c r="U585" s="6"/>
      <c r="V585" s="6"/>
      <c r="W585" s="6"/>
      <c r="X585" s="6"/>
      <c r="Y585" s="6"/>
      <c r="Z585" s="6"/>
      <c r="AA585" s="6"/>
      <c r="AB585" s="6"/>
    </row>
    <row r="586" ht="16.5" customHeight="1">
      <c r="A586" s="6"/>
      <c r="B586" s="6"/>
      <c r="C586" s="6"/>
      <c r="D586" s="6"/>
      <c r="E586" s="6"/>
      <c r="F586" s="6"/>
      <c r="G586" s="6"/>
      <c r="H586" s="93"/>
      <c r="I586" s="93"/>
      <c r="J586" s="93"/>
      <c r="K586" s="93"/>
      <c r="L586" s="93"/>
      <c r="M586" s="6"/>
      <c r="N586" s="6"/>
      <c r="O586" s="6"/>
      <c r="P586" s="6"/>
      <c r="Q586" s="6"/>
      <c r="R586" s="6"/>
      <c r="S586" s="6"/>
      <c r="T586" s="6"/>
      <c r="U586" s="6"/>
      <c r="V586" s="6"/>
      <c r="W586" s="6"/>
      <c r="X586" s="6"/>
      <c r="Y586" s="6"/>
      <c r="Z586" s="6"/>
      <c r="AA586" s="6"/>
      <c r="AB586" s="6"/>
    </row>
    <row r="587" ht="16.5" customHeight="1">
      <c r="A587" s="6"/>
      <c r="B587" s="6"/>
      <c r="C587" s="6"/>
      <c r="D587" s="6"/>
      <c r="E587" s="6"/>
      <c r="F587" s="6"/>
      <c r="G587" s="6"/>
      <c r="H587" s="93"/>
      <c r="I587" s="93"/>
      <c r="J587" s="93"/>
      <c r="K587" s="93"/>
      <c r="L587" s="93"/>
      <c r="M587" s="6"/>
      <c r="N587" s="6"/>
      <c r="O587" s="6"/>
      <c r="P587" s="6"/>
      <c r="Q587" s="6"/>
      <c r="R587" s="6"/>
      <c r="S587" s="6"/>
      <c r="T587" s="6"/>
      <c r="U587" s="6"/>
      <c r="V587" s="6"/>
      <c r="W587" s="6"/>
      <c r="X587" s="6"/>
      <c r="Y587" s="6"/>
      <c r="Z587" s="6"/>
      <c r="AA587" s="6"/>
      <c r="AB587" s="6"/>
    </row>
    <row r="588" ht="16.5" customHeight="1">
      <c r="A588" s="6"/>
      <c r="B588" s="6"/>
      <c r="C588" s="6"/>
      <c r="D588" s="6"/>
      <c r="E588" s="6"/>
      <c r="F588" s="6"/>
      <c r="G588" s="6"/>
      <c r="H588" s="93"/>
      <c r="I588" s="93"/>
      <c r="J588" s="93"/>
      <c r="K588" s="93"/>
      <c r="L588" s="93"/>
      <c r="M588" s="6"/>
      <c r="N588" s="6"/>
      <c r="O588" s="6"/>
      <c r="P588" s="6"/>
      <c r="Q588" s="6"/>
      <c r="R588" s="6"/>
      <c r="S588" s="6"/>
      <c r="T588" s="6"/>
      <c r="U588" s="6"/>
      <c r="V588" s="6"/>
      <c r="W588" s="6"/>
      <c r="X588" s="6"/>
      <c r="Y588" s="6"/>
      <c r="Z588" s="6"/>
      <c r="AA588" s="6"/>
      <c r="AB588" s="6"/>
    </row>
    <row r="589" ht="16.5" customHeight="1">
      <c r="A589" s="6"/>
      <c r="B589" s="6"/>
      <c r="C589" s="6"/>
      <c r="D589" s="6"/>
      <c r="E589" s="6"/>
      <c r="F589" s="6"/>
      <c r="G589" s="6"/>
      <c r="H589" s="93"/>
      <c r="I589" s="93"/>
      <c r="J589" s="93"/>
      <c r="K589" s="93"/>
      <c r="L589" s="93"/>
      <c r="M589" s="6"/>
      <c r="N589" s="6"/>
      <c r="O589" s="6"/>
      <c r="P589" s="6"/>
      <c r="Q589" s="6"/>
      <c r="R589" s="6"/>
      <c r="S589" s="6"/>
      <c r="T589" s="6"/>
      <c r="U589" s="6"/>
      <c r="V589" s="6"/>
      <c r="W589" s="6"/>
      <c r="X589" s="6"/>
      <c r="Y589" s="6"/>
      <c r="Z589" s="6"/>
      <c r="AA589" s="6"/>
      <c r="AB589" s="6"/>
    </row>
    <row r="590" ht="16.5" customHeight="1">
      <c r="A590" s="6"/>
      <c r="B590" s="6"/>
      <c r="C590" s="6"/>
      <c r="D590" s="6"/>
      <c r="E590" s="6"/>
      <c r="F590" s="6"/>
      <c r="G590" s="6"/>
      <c r="H590" s="93"/>
      <c r="I590" s="93"/>
      <c r="J590" s="93"/>
      <c r="K590" s="93"/>
      <c r="L590" s="93"/>
      <c r="M590" s="6"/>
      <c r="N590" s="6"/>
      <c r="O590" s="6"/>
      <c r="P590" s="6"/>
      <c r="Q590" s="6"/>
      <c r="R590" s="6"/>
      <c r="S590" s="6"/>
      <c r="T590" s="6"/>
      <c r="U590" s="6"/>
      <c r="V590" s="6"/>
      <c r="W590" s="6"/>
      <c r="X590" s="6"/>
      <c r="Y590" s="6"/>
      <c r="Z590" s="6"/>
      <c r="AA590" s="6"/>
      <c r="AB590" s="6"/>
    </row>
    <row r="591" ht="16.5" customHeight="1">
      <c r="A591" s="6"/>
      <c r="B591" s="6"/>
      <c r="C591" s="6"/>
      <c r="D591" s="6"/>
      <c r="E591" s="6"/>
      <c r="F591" s="6"/>
      <c r="G591" s="6"/>
      <c r="H591" s="93"/>
      <c r="I591" s="93"/>
      <c r="J591" s="93"/>
      <c r="K591" s="93"/>
      <c r="L591" s="93"/>
      <c r="M591" s="6"/>
      <c r="N591" s="6"/>
      <c r="O591" s="6"/>
      <c r="P591" s="6"/>
      <c r="Q591" s="6"/>
      <c r="R591" s="6"/>
      <c r="S591" s="6"/>
      <c r="T591" s="6"/>
      <c r="U591" s="6"/>
      <c r="V591" s="6"/>
      <c r="W591" s="6"/>
      <c r="X591" s="6"/>
      <c r="Y591" s="6"/>
      <c r="Z591" s="6"/>
      <c r="AA591" s="6"/>
      <c r="AB591" s="6"/>
    </row>
    <row r="592" ht="16.5" customHeight="1">
      <c r="A592" s="6"/>
      <c r="B592" s="6"/>
      <c r="C592" s="6"/>
      <c r="D592" s="6"/>
      <c r="E592" s="6"/>
      <c r="F592" s="6"/>
      <c r="G592" s="6"/>
      <c r="H592" s="93"/>
      <c r="I592" s="93"/>
      <c r="J592" s="93"/>
      <c r="K592" s="93"/>
      <c r="L592" s="93"/>
      <c r="M592" s="6"/>
      <c r="N592" s="6"/>
      <c r="O592" s="6"/>
      <c r="P592" s="6"/>
      <c r="Q592" s="6"/>
      <c r="R592" s="6"/>
      <c r="S592" s="6"/>
      <c r="T592" s="6"/>
      <c r="U592" s="6"/>
      <c r="V592" s="6"/>
      <c r="W592" s="6"/>
      <c r="X592" s="6"/>
      <c r="Y592" s="6"/>
      <c r="Z592" s="6"/>
      <c r="AA592" s="6"/>
      <c r="AB592" s="6"/>
    </row>
    <row r="593" ht="16.5" customHeight="1">
      <c r="A593" s="6"/>
      <c r="B593" s="6"/>
      <c r="C593" s="6"/>
      <c r="D593" s="6"/>
      <c r="E593" s="6"/>
      <c r="F593" s="6"/>
      <c r="G593" s="6"/>
      <c r="H593" s="93"/>
      <c r="I593" s="93"/>
      <c r="J593" s="93"/>
      <c r="K593" s="93"/>
      <c r="L593" s="93"/>
      <c r="M593" s="6"/>
      <c r="N593" s="6"/>
      <c r="O593" s="6"/>
      <c r="P593" s="6"/>
      <c r="Q593" s="6"/>
      <c r="R593" s="6"/>
      <c r="S593" s="6"/>
      <c r="T593" s="6"/>
      <c r="U593" s="6"/>
      <c r="V593" s="6"/>
      <c r="W593" s="6"/>
      <c r="X593" s="6"/>
      <c r="Y593" s="6"/>
      <c r="Z593" s="6"/>
      <c r="AA593" s="6"/>
      <c r="AB593" s="6"/>
    </row>
    <row r="594" ht="16.5" customHeight="1">
      <c r="A594" s="6"/>
      <c r="B594" s="6"/>
      <c r="C594" s="6"/>
      <c r="D594" s="6"/>
      <c r="E594" s="6"/>
      <c r="F594" s="6"/>
      <c r="G594" s="6"/>
      <c r="H594" s="93"/>
      <c r="I594" s="93"/>
      <c r="J594" s="93"/>
      <c r="K594" s="93"/>
      <c r="L594" s="93"/>
      <c r="M594" s="6"/>
      <c r="N594" s="6"/>
      <c r="O594" s="6"/>
      <c r="P594" s="6"/>
      <c r="Q594" s="6"/>
      <c r="R594" s="6"/>
      <c r="S594" s="6"/>
      <c r="T594" s="6"/>
      <c r="U594" s="6"/>
      <c r="V594" s="6"/>
      <c r="W594" s="6"/>
      <c r="X594" s="6"/>
      <c r="Y594" s="6"/>
      <c r="Z594" s="6"/>
      <c r="AA594" s="6"/>
      <c r="AB594" s="6"/>
    </row>
    <row r="595" ht="16.5" customHeight="1">
      <c r="A595" s="6"/>
      <c r="B595" s="6"/>
      <c r="C595" s="6"/>
      <c r="D595" s="6"/>
      <c r="E595" s="6"/>
      <c r="F595" s="6"/>
      <c r="G595" s="6"/>
      <c r="H595" s="93"/>
      <c r="I595" s="93"/>
      <c r="J595" s="93"/>
      <c r="K595" s="93"/>
      <c r="L595" s="93"/>
      <c r="M595" s="6"/>
      <c r="N595" s="6"/>
      <c r="O595" s="6"/>
      <c r="P595" s="6"/>
      <c r="Q595" s="6"/>
      <c r="R595" s="6"/>
      <c r="S595" s="6"/>
      <c r="T595" s="6"/>
      <c r="U595" s="6"/>
      <c r="V595" s="6"/>
      <c r="W595" s="6"/>
      <c r="X595" s="6"/>
      <c r="Y595" s="6"/>
      <c r="Z595" s="6"/>
      <c r="AA595" s="6"/>
      <c r="AB595" s="6"/>
    </row>
    <row r="596" ht="16.5" customHeight="1">
      <c r="A596" s="6"/>
      <c r="B596" s="6"/>
      <c r="C596" s="6"/>
      <c r="D596" s="6"/>
      <c r="E596" s="6"/>
      <c r="F596" s="6"/>
      <c r="G596" s="6"/>
      <c r="H596" s="93"/>
      <c r="I596" s="93"/>
      <c r="J596" s="93"/>
      <c r="K596" s="93"/>
      <c r="L596" s="93"/>
      <c r="M596" s="6"/>
      <c r="N596" s="6"/>
      <c r="O596" s="6"/>
      <c r="P596" s="6"/>
      <c r="Q596" s="6"/>
      <c r="R596" s="6"/>
      <c r="S596" s="6"/>
      <c r="T596" s="6"/>
      <c r="U596" s="6"/>
      <c r="V596" s="6"/>
      <c r="W596" s="6"/>
      <c r="X596" s="6"/>
      <c r="Y596" s="6"/>
      <c r="Z596" s="6"/>
      <c r="AA596" s="6"/>
      <c r="AB596" s="6"/>
    </row>
    <row r="597" ht="16.5" customHeight="1">
      <c r="A597" s="6"/>
      <c r="B597" s="6"/>
      <c r="C597" s="6"/>
      <c r="D597" s="6"/>
      <c r="E597" s="6"/>
      <c r="F597" s="6"/>
      <c r="G597" s="6"/>
      <c r="H597" s="93"/>
      <c r="I597" s="93"/>
      <c r="J597" s="93"/>
      <c r="K597" s="93"/>
      <c r="L597" s="93"/>
      <c r="M597" s="6"/>
      <c r="N597" s="6"/>
      <c r="O597" s="6"/>
      <c r="P597" s="6"/>
      <c r="Q597" s="6"/>
      <c r="R597" s="6"/>
      <c r="S597" s="6"/>
      <c r="T597" s="6"/>
      <c r="U597" s="6"/>
      <c r="V597" s="6"/>
      <c r="W597" s="6"/>
      <c r="X597" s="6"/>
      <c r="Y597" s="6"/>
      <c r="Z597" s="6"/>
      <c r="AA597" s="6"/>
      <c r="AB597" s="6"/>
    </row>
    <row r="598" ht="16.5" customHeight="1">
      <c r="A598" s="6"/>
      <c r="B598" s="6"/>
      <c r="C598" s="6"/>
      <c r="D598" s="6"/>
      <c r="E598" s="6"/>
      <c r="F598" s="6"/>
      <c r="G598" s="6"/>
      <c r="H598" s="93"/>
      <c r="I598" s="93"/>
      <c r="J598" s="93"/>
      <c r="K598" s="93"/>
      <c r="L598" s="93"/>
      <c r="M598" s="6"/>
      <c r="N598" s="6"/>
      <c r="O598" s="6"/>
      <c r="P598" s="6"/>
      <c r="Q598" s="6"/>
      <c r="R598" s="6"/>
      <c r="S598" s="6"/>
      <c r="T598" s="6"/>
      <c r="U598" s="6"/>
      <c r="V598" s="6"/>
      <c r="W598" s="6"/>
      <c r="X598" s="6"/>
      <c r="Y598" s="6"/>
      <c r="Z598" s="6"/>
      <c r="AA598" s="6"/>
      <c r="AB598" s="6"/>
    </row>
    <row r="599" ht="16.5" customHeight="1">
      <c r="A599" s="6"/>
      <c r="B599" s="6"/>
      <c r="C599" s="6"/>
      <c r="D599" s="6"/>
      <c r="E599" s="6"/>
      <c r="F599" s="6"/>
      <c r="G599" s="6"/>
      <c r="H599" s="93"/>
      <c r="I599" s="93"/>
      <c r="J599" s="93"/>
      <c r="K599" s="93"/>
      <c r="L599" s="93"/>
      <c r="M599" s="6"/>
      <c r="N599" s="6"/>
      <c r="O599" s="6"/>
      <c r="P599" s="6"/>
      <c r="Q599" s="6"/>
      <c r="R599" s="6"/>
      <c r="S599" s="6"/>
      <c r="T599" s="6"/>
      <c r="U599" s="6"/>
      <c r="V599" s="6"/>
      <c r="W599" s="6"/>
      <c r="X599" s="6"/>
      <c r="Y599" s="6"/>
      <c r="Z599" s="6"/>
      <c r="AA599" s="6"/>
      <c r="AB599" s="6"/>
    </row>
    <row r="600" ht="16.5" customHeight="1">
      <c r="A600" s="6"/>
      <c r="B600" s="6"/>
      <c r="C600" s="6"/>
      <c r="D600" s="6"/>
      <c r="E600" s="6"/>
      <c r="F600" s="6"/>
      <c r="G600" s="6"/>
      <c r="H600" s="93"/>
      <c r="I600" s="93"/>
      <c r="J600" s="93"/>
      <c r="K600" s="93"/>
      <c r="L600" s="93"/>
      <c r="M600" s="6"/>
      <c r="N600" s="6"/>
      <c r="O600" s="6"/>
      <c r="P600" s="6"/>
      <c r="Q600" s="6"/>
      <c r="R600" s="6"/>
      <c r="S600" s="6"/>
      <c r="T600" s="6"/>
      <c r="U600" s="6"/>
      <c r="V600" s="6"/>
      <c r="W600" s="6"/>
      <c r="X600" s="6"/>
      <c r="Y600" s="6"/>
      <c r="Z600" s="6"/>
      <c r="AA600" s="6"/>
      <c r="AB600" s="6"/>
    </row>
    <row r="601" ht="16.5" customHeight="1">
      <c r="A601" s="6"/>
      <c r="B601" s="6"/>
      <c r="C601" s="6"/>
      <c r="D601" s="6"/>
      <c r="E601" s="6"/>
      <c r="F601" s="6"/>
      <c r="G601" s="6"/>
      <c r="H601" s="93"/>
      <c r="I601" s="93"/>
      <c r="J601" s="93"/>
      <c r="K601" s="93"/>
      <c r="L601" s="93"/>
      <c r="M601" s="6"/>
      <c r="N601" s="6"/>
      <c r="O601" s="6"/>
      <c r="P601" s="6"/>
      <c r="Q601" s="6"/>
      <c r="R601" s="6"/>
      <c r="S601" s="6"/>
      <c r="T601" s="6"/>
      <c r="U601" s="6"/>
      <c r="V601" s="6"/>
      <c r="W601" s="6"/>
      <c r="X601" s="6"/>
      <c r="Y601" s="6"/>
      <c r="Z601" s="6"/>
      <c r="AA601" s="6"/>
      <c r="AB601" s="6"/>
    </row>
    <row r="602" ht="16.5" customHeight="1">
      <c r="A602" s="6"/>
      <c r="B602" s="6"/>
      <c r="C602" s="6"/>
      <c r="D602" s="6"/>
      <c r="E602" s="6"/>
      <c r="F602" s="6"/>
      <c r="G602" s="6"/>
      <c r="H602" s="93"/>
      <c r="I602" s="93"/>
      <c r="J602" s="93"/>
      <c r="K602" s="93"/>
      <c r="L602" s="93"/>
      <c r="M602" s="6"/>
      <c r="N602" s="6"/>
      <c r="O602" s="6"/>
      <c r="P602" s="6"/>
      <c r="Q602" s="6"/>
      <c r="R602" s="6"/>
      <c r="S602" s="6"/>
      <c r="T602" s="6"/>
      <c r="U602" s="6"/>
      <c r="V602" s="6"/>
      <c r="W602" s="6"/>
      <c r="X602" s="6"/>
      <c r="Y602" s="6"/>
      <c r="Z602" s="6"/>
      <c r="AA602" s="6"/>
      <c r="AB602" s="6"/>
    </row>
    <row r="603" ht="16.5" customHeight="1">
      <c r="A603" s="6"/>
      <c r="B603" s="6"/>
      <c r="C603" s="6"/>
      <c r="D603" s="6"/>
      <c r="E603" s="6"/>
      <c r="F603" s="6"/>
      <c r="G603" s="6"/>
      <c r="H603" s="93"/>
      <c r="I603" s="93"/>
      <c r="J603" s="93"/>
      <c r="K603" s="93"/>
      <c r="L603" s="93"/>
      <c r="M603" s="6"/>
      <c r="N603" s="6"/>
      <c r="O603" s="6"/>
      <c r="P603" s="6"/>
      <c r="Q603" s="6"/>
      <c r="R603" s="6"/>
      <c r="S603" s="6"/>
      <c r="T603" s="6"/>
      <c r="U603" s="6"/>
      <c r="V603" s="6"/>
      <c r="W603" s="6"/>
      <c r="X603" s="6"/>
      <c r="Y603" s="6"/>
      <c r="Z603" s="6"/>
      <c r="AA603" s="6"/>
      <c r="AB603" s="6"/>
    </row>
    <row r="604" ht="16.5" customHeight="1">
      <c r="A604" s="6"/>
      <c r="B604" s="6"/>
      <c r="C604" s="6"/>
      <c r="D604" s="6"/>
      <c r="E604" s="6"/>
      <c r="F604" s="6"/>
      <c r="G604" s="6"/>
      <c r="H604" s="93"/>
      <c r="I604" s="93"/>
      <c r="J604" s="93"/>
      <c r="K604" s="93"/>
      <c r="L604" s="93"/>
      <c r="M604" s="6"/>
      <c r="N604" s="6"/>
      <c r="O604" s="6"/>
      <c r="P604" s="6"/>
      <c r="Q604" s="6"/>
      <c r="R604" s="6"/>
      <c r="S604" s="6"/>
      <c r="T604" s="6"/>
      <c r="U604" s="6"/>
      <c r="V604" s="6"/>
      <c r="W604" s="6"/>
      <c r="X604" s="6"/>
      <c r="Y604" s="6"/>
      <c r="Z604" s="6"/>
      <c r="AA604" s="6"/>
      <c r="AB604" s="6"/>
    </row>
    <row r="605" ht="16.5" customHeight="1">
      <c r="A605" s="6"/>
      <c r="B605" s="6"/>
      <c r="C605" s="6"/>
      <c r="D605" s="6"/>
      <c r="E605" s="6"/>
      <c r="F605" s="6"/>
      <c r="G605" s="6"/>
      <c r="H605" s="93"/>
      <c r="I605" s="93"/>
      <c r="J605" s="93"/>
      <c r="K605" s="93"/>
      <c r="L605" s="93"/>
      <c r="M605" s="6"/>
      <c r="N605" s="6"/>
      <c r="O605" s="6"/>
      <c r="P605" s="6"/>
      <c r="Q605" s="6"/>
      <c r="R605" s="6"/>
      <c r="S605" s="6"/>
      <c r="T605" s="6"/>
      <c r="U605" s="6"/>
      <c r="V605" s="6"/>
      <c r="W605" s="6"/>
      <c r="X605" s="6"/>
      <c r="Y605" s="6"/>
      <c r="Z605" s="6"/>
      <c r="AA605" s="6"/>
      <c r="AB605" s="6"/>
    </row>
    <row r="606" ht="16.5" customHeight="1">
      <c r="A606" s="6"/>
      <c r="B606" s="6"/>
      <c r="C606" s="6"/>
      <c r="D606" s="6"/>
      <c r="E606" s="6"/>
      <c r="F606" s="6"/>
      <c r="G606" s="6"/>
      <c r="H606" s="93"/>
      <c r="I606" s="93"/>
      <c r="J606" s="93"/>
      <c r="K606" s="93"/>
      <c r="L606" s="93"/>
      <c r="M606" s="6"/>
      <c r="N606" s="6"/>
      <c r="O606" s="6"/>
      <c r="P606" s="6"/>
      <c r="Q606" s="6"/>
      <c r="R606" s="6"/>
      <c r="S606" s="6"/>
      <c r="T606" s="6"/>
      <c r="U606" s="6"/>
      <c r="V606" s="6"/>
      <c r="W606" s="6"/>
      <c r="X606" s="6"/>
      <c r="Y606" s="6"/>
      <c r="Z606" s="6"/>
      <c r="AA606" s="6"/>
      <c r="AB606" s="6"/>
    </row>
    <row r="607" ht="16.5" customHeight="1">
      <c r="A607" s="6"/>
      <c r="B607" s="6"/>
      <c r="C607" s="6"/>
      <c r="D607" s="6"/>
      <c r="E607" s="6"/>
      <c r="F607" s="6"/>
      <c r="G607" s="6"/>
      <c r="H607" s="93"/>
      <c r="I607" s="93"/>
      <c r="J607" s="93"/>
      <c r="K607" s="93"/>
      <c r="L607" s="93"/>
      <c r="M607" s="6"/>
      <c r="N607" s="6"/>
      <c r="O607" s="6"/>
      <c r="P607" s="6"/>
      <c r="Q607" s="6"/>
      <c r="R607" s="6"/>
      <c r="S607" s="6"/>
      <c r="T607" s="6"/>
      <c r="U607" s="6"/>
      <c r="V607" s="6"/>
      <c r="W607" s="6"/>
      <c r="X607" s="6"/>
      <c r="Y607" s="6"/>
      <c r="Z607" s="6"/>
      <c r="AA607" s="6"/>
      <c r="AB607" s="6"/>
    </row>
    <row r="608" ht="16.5" customHeight="1">
      <c r="A608" s="6"/>
      <c r="B608" s="6"/>
      <c r="C608" s="6"/>
      <c r="D608" s="6"/>
      <c r="E608" s="6"/>
      <c r="F608" s="6"/>
      <c r="G608" s="6"/>
      <c r="H608" s="93"/>
      <c r="I608" s="93"/>
      <c r="J608" s="93"/>
      <c r="K608" s="93"/>
      <c r="L608" s="93"/>
      <c r="M608" s="6"/>
      <c r="N608" s="6"/>
      <c r="O608" s="6"/>
      <c r="P608" s="6"/>
      <c r="Q608" s="6"/>
      <c r="R608" s="6"/>
      <c r="S608" s="6"/>
      <c r="T608" s="6"/>
      <c r="U608" s="6"/>
      <c r="V608" s="6"/>
      <c r="W608" s="6"/>
      <c r="X608" s="6"/>
      <c r="Y608" s="6"/>
      <c r="Z608" s="6"/>
      <c r="AA608" s="6"/>
      <c r="AB608" s="6"/>
    </row>
    <row r="609" ht="16.5" customHeight="1">
      <c r="A609" s="6"/>
      <c r="B609" s="6"/>
      <c r="C609" s="6"/>
      <c r="D609" s="6"/>
      <c r="E609" s="6"/>
      <c r="F609" s="6"/>
      <c r="G609" s="6"/>
      <c r="H609" s="93"/>
      <c r="I609" s="93"/>
      <c r="J609" s="93"/>
      <c r="K609" s="93"/>
      <c r="L609" s="93"/>
      <c r="M609" s="6"/>
      <c r="N609" s="6"/>
      <c r="O609" s="6"/>
      <c r="P609" s="6"/>
      <c r="Q609" s="6"/>
      <c r="R609" s="6"/>
      <c r="S609" s="6"/>
      <c r="T609" s="6"/>
      <c r="U609" s="6"/>
      <c r="V609" s="6"/>
      <c r="W609" s="6"/>
      <c r="X609" s="6"/>
      <c r="Y609" s="6"/>
      <c r="Z609" s="6"/>
      <c r="AA609" s="6"/>
      <c r="AB609" s="6"/>
    </row>
    <row r="610" ht="16.5" customHeight="1">
      <c r="A610" s="6"/>
      <c r="B610" s="6"/>
      <c r="C610" s="6"/>
      <c r="D610" s="6"/>
      <c r="E610" s="6"/>
      <c r="F610" s="6"/>
      <c r="G610" s="6"/>
      <c r="H610" s="93"/>
      <c r="I610" s="93"/>
      <c r="J610" s="93"/>
      <c r="K610" s="93"/>
      <c r="L610" s="93"/>
      <c r="M610" s="6"/>
      <c r="N610" s="6"/>
      <c r="O610" s="6"/>
      <c r="P610" s="6"/>
      <c r="Q610" s="6"/>
      <c r="R610" s="6"/>
      <c r="S610" s="6"/>
      <c r="T610" s="6"/>
      <c r="U610" s="6"/>
      <c r="V610" s="6"/>
      <c r="W610" s="6"/>
      <c r="X610" s="6"/>
      <c r="Y610" s="6"/>
      <c r="Z610" s="6"/>
      <c r="AA610" s="6"/>
      <c r="AB610" s="6"/>
    </row>
    <row r="611" ht="16.5" customHeight="1">
      <c r="A611" s="6"/>
      <c r="B611" s="6"/>
      <c r="C611" s="6"/>
      <c r="D611" s="6"/>
      <c r="E611" s="6"/>
      <c r="F611" s="6"/>
      <c r="G611" s="6"/>
      <c r="H611" s="93"/>
      <c r="I611" s="93"/>
      <c r="J611" s="93"/>
      <c r="K611" s="93"/>
      <c r="L611" s="93"/>
      <c r="M611" s="6"/>
      <c r="N611" s="6"/>
      <c r="O611" s="6"/>
      <c r="P611" s="6"/>
      <c r="Q611" s="6"/>
      <c r="R611" s="6"/>
      <c r="S611" s="6"/>
      <c r="T611" s="6"/>
      <c r="U611" s="6"/>
      <c r="V611" s="6"/>
      <c r="W611" s="6"/>
      <c r="X611" s="6"/>
      <c r="Y611" s="6"/>
      <c r="Z611" s="6"/>
      <c r="AA611" s="6"/>
      <c r="AB611" s="6"/>
    </row>
    <row r="612" ht="16.5" customHeight="1">
      <c r="A612" s="6"/>
      <c r="B612" s="6"/>
      <c r="C612" s="6"/>
      <c r="D612" s="6"/>
      <c r="E612" s="6"/>
      <c r="F612" s="6"/>
      <c r="G612" s="6"/>
      <c r="H612" s="93"/>
      <c r="I612" s="93"/>
      <c r="J612" s="93"/>
      <c r="K612" s="93"/>
      <c r="L612" s="93"/>
      <c r="M612" s="6"/>
      <c r="N612" s="6"/>
      <c r="O612" s="6"/>
      <c r="P612" s="6"/>
      <c r="Q612" s="6"/>
      <c r="R612" s="6"/>
      <c r="S612" s="6"/>
      <c r="T612" s="6"/>
      <c r="U612" s="6"/>
      <c r="V612" s="6"/>
      <c r="W612" s="6"/>
      <c r="X612" s="6"/>
      <c r="Y612" s="6"/>
      <c r="Z612" s="6"/>
      <c r="AA612" s="6"/>
      <c r="AB612" s="6"/>
    </row>
    <row r="613" ht="16.5" customHeight="1">
      <c r="A613" s="6"/>
      <c r="B613" s="6"/>
      <c r="C613" s="6"/>
      <c r="D613" s="6"/>
      <c r="E613" s="6"/>
      <c r="F613" s="6"/>
      <c r="G613" s="6"/>
      <c r="H613" s="93"/>
      <c r="I613" s="93"/>
      <c r="J613" s="93"/>
      <c r="K613" s="93"/>
      <c r="L613" s="93"/>
      <c r="M613" s="6"/>
      <c r="N613" s="6"/>
      <c r="O613" s="6"/>
      <c r="P613" s="6"/>
      <c r="Q613" s="6"/>
      <c r="R613" s="6"/>
      <c r="S613" s="6"/>
      <c r="T613" s="6"/>
      <c r="U613" s="6"/>
      <c r="V613" s="6"/>
      <c r="W613" s="6"/>
      <c r="X613" s="6"/>
      <c r="Y613" s="6"/>
      <c r="Z613" s="6"/>
      <c r="AA613" s="6"/>
      <c r="AB613" s="6"/>
    </row>
    <row r="614" ht="16.5" customHeight="1">
      <c r="A614" s="6"/>
      <c r="B614" s="6"/>
      <c r="C614" s="6"/>
      <c r="D614" s="6"/>
      <c r="E614" s="6"/>
      <c r="F614" s="6"/>
      <c r="G614" s="6"/>
      <c r="H614" s="93"/>
      <c r="I614" s="93"/>
      <c r="J614" s="93"/>
      <c r="K614" s="93"/>
      <c r="L614" s="93"/>
      <c r="M614" s="6"/>
      <c r="N614" s="6"/>
      <c r="O614" s="6"/>
      <c r="P614" s="6"/>
      <c r="Q614" s="6"/>
      <c r="R614" s="6"/>
      <c r="S614" s="6"/>
      <c r="T614" s="6"/>
      <c r="U614" s="6"/>
      <c r="V614" s="6"/>
      <c r="W614" s="6"/>
      <c r="X614" s="6"/>
      <c r="Y614" s="6"/>
      <c r="Z614" s="6"/>
      <c r="AA614" s="6"/>
      <c r="AB614" s="6"/>
    </row>
    <row r="615" ht="16.5" customHeight="1">
      <c r="A615" s="6"/>
      <c r="B615" s="6"/>
      <c r="C615" s="6"/>
      <c r="D615" s="6"/>
      <c r="E615" s="6"/>
      <c r="F615" s="6"/>
      <c r="G615" s="6"/>
      <c r="H615" s="93"/>
      <c r="I615" s="93"/>
      <c r="J615" s="93"/>
      <c r="K615" s="93"/>
      <c r="L615" s="93"/>
      <c r="M615" s="6"/>
      <c r="N615" s="6"/>
      <c r="O615" s="6"/>
      <c r="P615" s="6"/>
      <c r="Q615" s="6"/>
      <c r="R615" s="6"/>
      <c r="S615" s="6"/>
      <c r="T615" s="6"/>
      <c r="U615" s="6"/>
      <c r="V615" s="6"/>
      <c r="W615" s="6"/>
      <c r="X615" s="6"/>
      <c r="Y615" s="6"/>
      <c r="Z615" s="6"/>
      <c r="AA615" s="6"/>
      <c r="AB615" s="6"/>
    </row>
    <row r="616" ht="16.5" customHeight="1">
      <c r="A616" s="6"/>
      <c r="B616" s="6"/>
      <c r="C616" s="6"/>
      <c r="D616" s="6"/>
      <c r="E616" s="6"/>
      <c r="F616" s="6"/>
      <c r="G616" s="6"/>
      <c r="H616" s="93"/>
      <c r="I616" s="93"/>
      <c r="J616" s="93"/>
      <c r="K616" s="93"/>
      <c r="L616" s="93"/>
      <c r="M616" s="6"/>
      <c r="N616" s="6"/>
      <c r="O616" s="6"/>
      <c r="P616" s="6"/>
      <c r="Q616" s="6"/>
      <c r="R616" s="6"/>
      <c r="S616" s="6"/>
      <c r="T616" s="6"/>
      <c r="U616" s="6"/>
      <c r="V616" s="6"/>
      <c r="W616" s="6"/>
      <c r="X616" s="6"/>
      <c r="Y616" s="6"/>
      <c r="Z616" s="6"/>
      <c r="AA616" s="6"/>
      <c r="AB616" s="6"/>
    </row>
    <row r="617" ht="16.5" customHeight="1">
      <c r="A617" s="6"/>
      <c r="B617" s="6"/>
      <c r="C617" s="6"/>
      <c r="D617" s="6"/>
      <c r="E617" s="6"/>
      <c r="F617" s="6"/>
      <c r="G617" s="6"/>
      <c r="H617" s="93"/>
      <c r="I617" s="93"/>
      <c r="J617" s="93"/>
      <c r="K617" s="93"/>
      <c r="L617" s="93"/>
      <c r="M617" s="6"/>
      <c r="N617" s="6"/>
      <c r="O617" s="6"/>
      <c r="P617" s="6"/>
      <c r="Q617" s="6"/>
      <c r="R617" s="6"/>
      <c r="S617" s="6"/>
      <c r="T617" s="6"/>
      <c r="U617" s="6"/>
      <c r="V617" s="6"/>
      <c r="W617" s="6"/>
      <c r="X617" s="6"/>
      <c r="Y617" s="6"/>
      <c r="Z617" s="6"/>
      <c r="AA617" s="6"/>
      <c r="AB617" s="6"/>
    </row>
    <row r="618" ht="16.5" customHeight="1">
      <c r="A618" s="6"/>
      <c r="B618" s="6"/>
      <c r="C618" s="6"/>
      <c r="D618" s="6"/>
      <c r="E618" s="6"/>
      <c r="F618" s="6"/>
      <c r="G618" s="6"/>
      <c r="H618" s="93"/>
      <c r="I618" s="93"/>
      <c r="J618" s="93"/>
      <c r="K618" s="93"/>
      <c r="L618" s="93"/>
      <c r="M618" s="6"/>
      <c r="N618" s="6"/>
      <c r="O618" s="6"/>
      <c r="P618" s="6"/>
      <c r="Q618" s="6"/>
      <c r="R618" s="6"/>
      <c r="S618" s="6"/>
      <c r="T618" s="6"/>
      <c r="U618" s="6"/>
      <c r="V618" s="6"/>
      <c r="W618" s="6"/>
      <c r="X618" s="6"/>
      <c r="Y618" s="6"/>
      <c r="Z618" s="6"/>
      <c r="AA618" s="6"/>
      <c r="AB618" s="6"/>
    </row>
    <row r="619" ht="16.5" customHeight="1">
      <c r="A619" s="6"/>
      <c r="B619" s="6"/>
      <c r="C619" s="6"/>
      <c r="D619" s="6"/>
      <c r="E619" s="6"/>
      <c r="F619" s="6"/>
      <c r="G619" s="6"/>
      <c r="H619" s="93"/>
      <c r="I619" s="93"/>
      <c r="J619" s="93"/>
      <c r="K619" s="93"/>
      <c r="L619" s="93"/>
      <c r="M619" s="6"/>
      <c r="N619" s="6"/>
      <c r="O619" s="6"/>
      <c r="P619" s="6"/>
      <c r="Q619" s="6"/>
      <c r="R619" s="6"/>
      <c r="S619" s="6"/>
      <c r="T619" s="6"/>
      <c r="U619" s="6"/>
      <c r="V619" s="6"/>
      <c r="W619" s="6"/>
      <c r="X619" s="6"/>
      <c r="Y619" s="6"/>
      <c r="Z619" s="6"/>
      <c r="AA619" s="6"/>
      <c r="AB619" s="6"/>
    </row>
    <row r="620" ht="16.5" customHeight="1">
      <c r="A620" s="6"/>
      <c r="B620" s="6"/>
      <c r="C620" s="6"/>
      <c r="D620" s="6"/>
      <c r="E620" s="6"/>
      <c r="F620" s="6"/>
      <c r="G620" s="6"/>
      <c r="H620" s="93"/>
      <c r="I620" s="93"/>
      <c r="J620" s="93"/>
      <c r="K620" s="93"/>
      <c r="L620" s="93"/>
      <c r="M620" s="6"/>
      <c r="N620" s="6"/>
      <c r="O620" s="6"/>
      <c r="P620" s="6"/>
      <c r="Q620" s="6"/>
      <c r="R620" s="6"/>
      <c r="S620" s="6"/>
      <c r="T620" s="6"/>
      <c r="U620" s="6"/>
      <c r="V620" s="6"/>
      <c r="W620" s="6"/>
      <c r="X620" s="6"/>
      <c r="Y620" s="6"/>
      <c r="Z620" s="6"/>
      <c r="AA620" s="6"/>
      <c r="AB620" s="6"/>
    </row>
    <row r="621" ht="16.5" customHeight="1">
      <c r="A621" s="6"/>
      <c r="B621" s="6"/>
      <c r="C621" s="6"/>
      <c r="D621" s="6"/>
      <c r="E621" s="6"/>
      <c r="F621" s="6"/>
      <c r="G621" s="6"/>
      <c r="H621" s="93"/>
      <c r="I621" s="93"/>
      <c r="J621" s="93"/>
      <c r="K621" s="93"/>
      <c r="L621" s="93"/>
      <c r="M621" s="6"/>
      <c r="N621" s="6"/>
      <c r="O621" s="6"/>
      <c r="P621" s="6"/>
      <c r="Q621" s="6"/>
      <c r="R621" s="6"/>
      <c r="S621" s="6"/>
      <c r="T621" s="6"/>
      <c r="U621" s="6"/>
      <c r="V621" s="6"/>
      <c r="W621" s="6"/>
      <c r="X621" s="6"/>
      <c r="Y621" s="6"/>
      <c r="Z621" s="6"/>
      <c r="AA621" s="6"/>
      <c r="AB621" s="6"/>
    </row>
    <row r="622" ht="16.5" customHeight="1">
      <c r="A622" s="6"/>
      <c r="B622" s="6"/>
      <c r="C622" s="6"/>
      <c r="D622" s="6"/>
      <c r="E622" s="6"/>
      <c r="F622" s="6"/>
      <c r="G622" s="6"/>
      <c r="H622" s="93"/>
      <c r="I622" s="93"/>
      <c r="J622" s="93"/>
      <c r="K622" s="93"/>
      <c r="L622" s="93"/>
      <c r="M622" s="6"/>
      <c r="N622" s="6"/>
      <c r="O622" s="6"/>
      <c r="P622" s="6"/>
      <c r="Q622" s="6"/>
      <c r="R622" s="6"/>
      <c r="S622" s="6"/>
      <c r="T622" s="6"/>
      <c r="U622" s="6"/>
      <c r="V622" s="6"/>
      <c r="W622" s="6"/>
      <c r="X622" s="6"/>
      <c r="Y622" s="6"/>
      <c r="Z622" s="6"/>
      <c r="AA622" s="6"/>
      <c r="AB622" s="6"/>
    </row>
    <row r="623" ht="16.5" customHeight="1">
      <c r="A623" s="6"/>
      <c r="B623" s="6"/>
      <c r="C623" s="6"/>
      <c r="D623" s="6"/>
      <c r="E623" s="6"/>
      <c r="F623" s="6"/>
      <c r="G623" s="6"/>
      <c r="H623" s="93"/>
      <c r="I623" s="93"/>
      <c r="J623" s="93"/>
      <c r="K623" s="93"/>
      <c r="L623" s="93"/>
      <c r="M623" s="6"/>
      <c r="N623" s="6"/>
      <c r="O623" s="6"/>
      <c r="P623" s="6"/>
      <c r="Q623" s="6"/>
      <c r="R623" s="6"/>
      <c r="S623" s="6"/>
      <c r="T623" s="6"/>
      <c r="U623" s="6"/>
      <c r="V623" s="6"/>
      <c r="W623" s="6"/>
      <c r="X623" s="6"/>
      <c r="Y623" s="6"/>
      <c r="Z623" s="6"/>
      <c r="AA623" s="6"/>
      <c r="AB623" s="6"/>
    </row>
    <row r="624" ht="16.5" customHeight="1">
      <c r="A624" s="6"/>
      <c r="B624" s="6"/>
      <c r="C624" s="6"/>
      <c r="D624" s="6"/>
      <c r="E624" s="6"/>
      <c r="F624" s="6"/>
      <c r="G624" s="6"/>
      <c r="H624" s="93"/>
      <c r="I624" s="93"/>
      <c r="J624" s="93"/>
      <c r="K624" s="93"/>
      <c r="L624" s="93"/>
      <c r="M624" s="6"/>
      <c r="N624" s="6"/>
      <c r="O624" s="6"/>
      <c r="P624" s="6"/>
      <c r="Q624" s="6"/>
      <c r="R624" s="6"/>
      <c r="S624" s="6"/>
      <c r="T624" s="6"/>
      <c r="U624" s="6"/>
      <c r="V624" s="6"/>
      <c r="W624" s="6"/>
      <c r="X624" s="6"/>
      <c r="Y624" s="6"/>
      <c r="Z624" s="6"/>
      <c r="AA624" s="6"/>
      <c r="AB624" s="6"/>
    </row>
    <row r="625" ht="16.5" customHeight="1">
      <c r="A625" s="6"/>
      <c r="B625" s="6"/>
      <c r="C625" s="6"/>
      <c r="D625" s="6"/>
      <c r="E625" s="6"/>
      <c r="F625" s="6"/>
      <c r="G625" s="6"/>
      <c r="H625" s="93"/>
      <c r="I625" s="93"/>
      <c r="J625" s="93"/>
      <c r="K625" s="93"/>
      <c r="L625" s="93"/>
      <c r="M625" s="6"/>
      <c r="N625" s="6"/>
      <c r="O625" s="6"/>
      <c r="P625" s="6"/>
      <c r="Q625" s="6"/>
      <c r="R625" s="6"/>
      <c r="S625" s="6"/>
      <c r="T625" s="6"/>
      <c r="U625" s="6"/>
      <c r="V625" s="6"/>
      <c r="W625" s="6"/>
      <c r="X625" s="6"/>
      <c r="Y625" s="6"/>
      <c r="Z625" s="6"/>
      <c r="AA625" s="6"/>
      <c r="AB625" s="6"/>
    </row>
    <row r="626" ht="16.5" customHeight="1">
      <c r="A626" s="6"/>
      <c r="B626" s="6"/>
      <c r="C626" s="6"/>
      <c r="D626" s="6"/>
      <c r="E626" s="6"/>
      <c r="F626" s="6"/>
      <c r="G626" s="6"/>
      <c r="H626" s="93"/>
      <c r="I626" s="93"/>
      <c r="J626" s="93"/>
      <c r="K626" s="93"/>
      <c r="L626" s="93"/>
      <c r="M626" s="6"/>
      <c r="N626" s="6"/>
      <c r="O626" s="6"/>
      <c r="P626" s="6"/>
      <c r="Q626" s="6"/>
      <c r="R626" s="6"/>
      <c r="S626" s="6"/>
      <c r="T626" s="6"/>
      <c r="U626" s="6"/>
      <c r="V626" s="6"/>
      <c r="W626" s="6"/>
      <c r="X626" s="6"/>
      <c r="Y626" s="6"/>
      <c r="Z626" s="6"/>
      <c r="AA626" s="6"/>
      <c r="AB626" s="6"/>
    </row>
    <row r="627" ht="16.5" customHeight="1">
      <c r="A627" s="6"/>
      <c r="B627" s="6"/>
      <c r="C627" s="6"/>
      <c r="D627" s="6"/>
      <c r="E627" s="6"/>
      <c r="F627" s="6"/>
      <c r="G627" s="6"/>
      <c r="H627" s="93"/>
      <c r="I627" s="93"/>
      <c r="J627" s="93"/>
      <c r="K627" s="93"/>
      <c r="L627" s="93"/>
      <c r="M627" s="6"/>
      <c r="N627" s="6"/>
      <c r="O627" s="6"/>
      <c r="P627" s="6"/>
      <c r="Q627" s="6"/>
      <c r="R627" s="6"/>
      <c r="S627" s="6"/>
      <c r="T627" s="6"/>
      <c r="U627" s="6"/>
      <c r="V627" s="6"/>
      <c r="W627" s="6"/>
      <c r="X627" s="6"/>
      <c r="Y627" s="6"/>
      <c r="Z627" s="6"/>
      <c r="AA627" s="6"/>
      <c r="AB627" s="6"/>
    </row>
    <row r="628" ht="16.5" customHeight="1">
      <c r="A628" s="6"/>
      <c r="B628" s="6"/>
      <c r="C628" s="6"/>
      <c r="D628" s="6"/>
      <c r="E628" s="6"/>
      <c r="F628" s="6"/>
      <c r="G628" s="6"/>
      <c r="H628" s="93"/>
      <c r="I628" s="93"/>
      <c r="J628" s="93"/>
      <c r="K628" s="93"/>
      <c r="L628" s="93"/>
      <c r="M628" s="6"/>
      <c r="N628" s="6"/>
      <c r="O628" s="6"/>
      <c r="P628" s="6"/>
      <c r="Q628" s="6"/>
      <c r="R628" s="6"/>
      <c r="S628" s="6"/>
      <c r="T628" s="6"/>
      <c r="U628" s="6"/>
      <c r="V628" s="6"/>
      <c r="W628" s="6"/>
      <c r="X628" s="6"/>
      <c r="Y628" s="6"/>
      <c r="Z628" s="6"/>
      <c r="AA628" s="6"/>
      <c r="AB628" s="6"/>
    </row>
    <row r="629" ht="16.5" customHeight="1">
      <c r="A629" s="6"/>
      <c r="B629" s="6"/>
      <c r="C629" s="6"/>
      <c r="D629" s="6"/>
      <c r="E629" s="6"/>
      <c r="F629" s="6"/>
      <c r="G629" s="6"/>
      <c r="H629" s="93"/>
      <c r="I629" s="93"/>
      <c r="J629" s="93"/>
      <c r="K629" s="93"/>
      <c r="L629" s="93"/>
      <c r="M629" s="6"/>
      <c r="N629" s="6"/>
      <c r="O629" s="6"/>
      <c r="P629" s="6"/>
      <c r="Q629" s="6"/>
      <c r="R629" s="6"/>
      <c r="S629" s="6"/>
      <c r="T629" s="6"/>
      <c r="U629" s="6"/>
      <c r="V629" s="6"/>
      <c r="W629" s="6"/>
      <c r="X629" s="6"/>
      <c r="Y629" s="6"/>
      <c r="Z629" s="6"/>
      <c r="AA629" s="6"/>
      <c r="AB629" s="6"/>
    </row>
    <row r="630" ht="16.5" customHeight="1">
      <c r="A630" s="6"/>
      <c r="B630" s="6"/>
      <c r="C630" s="6"/>
      <c r="D630" s="6"/>
      <c r="E630" s="6"/>
      <c r="F630" s="6"/>
      <c r="G630" s="6"/>
      <c r="H630" s="93"/>
      <c r="I630" s="93"/>
      <c r="J630" s="93"/>
      <c r="K630" s="93"/>
      <c r="L630" s="93"/>
      <c r="M630" s="6"/>
      <c r="N630" s="6"/>
      <c r="O630" s="6"/>
      <c r="P630" s="6"/>
      <c r="Q630" s="6"/>
      <c r="R630" s="6"/>
      <c r="S630" s="6"/>
      <c r="T630" s="6"/>
      <c r="U630" s="6"/>
      <c r="V630" s="6"/>
      <c r="W630" s="6"/>
      <c r="X630" s="6"/>
      <c r="Y630" s="6"/>
      <c r="Z630" s="6"/>
      <c r="AA630" s="6"/>
      <c r="AB630" s="6"/>
    </row>
    <row r="631" ht="16.5" customHeight="1">
      <c r="A631" s="6"/>
      <c r="B631" s="6"/>
      <c r="C631" s="6"/>
      <c r="D631" s="6"/>
      <c r="E631" s="6"/>
      <c r="F631" s="6"/>
      <c r="G631" s="6"/>
      <c r="H631" s="93"/>
      <c r="I631" s="93"/>
      <c r="J631" s="93"/>
      <c r="K631" s="93"/>
      <c r="L631" s="93"/>
      <c r="M631" s="6"/>
      <c r="N631" s="6"/>
      <c r="O631" s="6"/>
      <c r="P631" s="6"/>
      <c r="Q631" s="6"/>
      <c r="R631" s="6"/>
      <c r="S631" s="6"/>
      <c r="T631" s="6"/>
      <c r="U631" s="6"/>
      <c r="V631" s="6"/>
      <c r="W631" s="6"/>
      <c r="X631" s="6"/>
      <c r="Y631" s="6"/>
      <c r="Z631" s="6"/>
      <c r="AA631" s="6"/>
      <c r="AB631" s="6"/>
    </row>
    <row r="632" ht="16.5" customHeight="1">
      <c r="A632" s="6"/>
      <c r="B632" s="6"/>
      <c r="C632" s="6"/>
      <c r="D632" s="6"/>
      <c r="E632" s="6"/>
      <c r="F632" s="6"/>
      <c r="G632" s="6"/>
      <c r="H632" s="93"/>
      <c r="I632" s="93"/>
      <c r="J632" s="93"/>
      <c r="K632" s="93"/>
      <c r="L632" s="93"/>
      <c r="M632" s="6"/>
      <c r="N632" s="6"/>
      <c r="O632" s="6"/>
      <c r="P632" s="6"/>
      <c r="Q632" s="6"/>
      <c r="R632" s="6"/>
      <c r="S632" s="6"/>
      <c r="T632" s="6"/>
      <c r="U632" s="6"/>
      <c r="V632" s="6"/>
      <c r="W632" s="6"/>
      <c r="X632" s="6"/>
      <c r="Y632" s="6"/>
      <c r="Z632" s="6"/>
      <c r="AA632" s="6"/>
      <c r="AB632" s="6"/>
    </row>
    <row r="633" ht="16.5" customHeight="1">
      <c r="A633" s="6"/>
      <c r="B633" s="6"/>
      <c r="C633" s="6"/>
      <c r="D633" s="6"/>
      <c r="E633" s="6"/>
      <c r="F633" s="6"/>
      <c r="G633" s="6"/>
      <c r="H633" s="93"/>
      <c r="I633" s="93"/>
      <c r="J633" s="93"/>
      <c r="K633" s="93"/>
      <c r="L633" s="93"/>
      <c r="M633" s="6"/>
      <c r="N633" s="6"/>
      <c r="O633" s="6"/>
      <c r="P633" s="6"/>
      <c r="Q633" s="6"/>
      <c r="R633" s="6"/>
      <c r="S633" s="6"/>
      <c r="T633" s="6"/>
      <c r="U633" s="6"/>
      <c r="V633" s="6"/>
      <c r="W633" s="6"/>
      <c r="X633" s="6"/>
      <c r="Y633" s="6"/>
      <c r="Z633" s="6"/>
      <c r="AA633" s="6"/>
      <c r="AB633" s="6"/>
    </row>
    <row r="634" ht="16.5" customHeight="1">
      <c r="A634" s="6"/>
      <c r="B634" s="6"/>
      <c r="C634" s="6"/>
      <c r="D634" s="6"/>
      <c r="E634" s="6"/>
      <c r="F634" s="6"/>
      <c r="G634" s="6"/>
      <c r="H634" s="93"/>
      <c r="I634" s="93"/>
      <c r="J634" s="93"/>
      <c r="K634" s="93"/>
      <c r="L634" s="93"/>
      <c r="M634" s="6"/>
      <c r="N634" s="6"/>
      <c r="O634" s="6"/>
      <c r="P634" s="6"/>
      <c r="Q634" s="6"/>
      <c r="R634" s="6"/>
      <c r="S634" s="6"/>
      <c r="T634" s="6"/>
      <c r="U634" s="6"/>
      <c r="V634" s="6"/>
      <c r="W634" s="6"/>
      <c r="X634" s="6"/>
      <c r="Y634" s="6"/>
      <c r="Z634" s="6"/>
      <c r="AA634" s="6"/>
      <c r="AB634" s="6"/>
    </row>
    <row r="635" ht="16.5" customHeight="1">
      <c r="A635" s="6"/>
      <c r="B635" s="6"/>
      <c r="C635" s="6"/>
      <c r="D635" s="6"/>
      <c r="E635" s="6"/>
      <c r="F635" s="6"/>
      <c r="G635" s="6"/>
      <c r="H635" s="93"/>
      <c r="I635" s="93"/>
      <c r="J635" s="93"/>
      <c r="K635" s="93"/>
      <c r="L635" s="93"/>
      <c r="M635" s="6"/>
      <c r="N635" s="6"/>
      <c r="O635" s="6"/>
      <c r="P635" s="6"/>
      <c r="Q635" s="6"/>
      <c r="R635" s="6"/>
      <c r="S635" s="6"/>
      <c r="T635" s="6"/>
      <c r="U635" s="6"/>
      <c r="V635" s="6"/>
      <c r="W635" s="6"/>
      <c r="X635" s="6"/>
      <c r="Y635" s="6"/>
      <c r="Z635" s="6"/>
      <c r="AA635" s="6"/>
      <c r="AB635" s="6"/>
    </row>
    <row r="636" ht="16.5" customHeight="1">
      <c r="A636" s="6"/>
      <c r="B636" s="6"/>
      <c r="C636" s="6"/>
      <c r="D636" s="6"/>
      <c r="E636" s="6"/>
      <c r="F636" s="6"/>
      <c r="G636" s="6"/>
      <c r="H636" s="93"/>
      <c r="I636" s="93"/>
      <c r="J636" s="93"/>
      <c r="K636" s="93"/>
      <c r="L636" s="93"/>
      <c r="M636" s="6"/>
      <c r="N636" s="6"/>
      <c r="O636" s="6"/>
      <c r="P636" s="6"/>
      <c r="Q636" s="6"/>
      <c r="R636" s="6"/>
      <c r="S636" s="6"/>
      <c r="T636" s="6"/>
      <c r="U636" s="6"/>
      <c r="V636" s="6"/>
      <c r="W636" s="6"/>
      <c r="X636" s="6"/>
      <c r="Y636" s="6"/>
      <c r="Z636" s="6"/>
      <c r="AA636" s="6"/>
      <c r="AB636" s="6"/>
    </row>
    <row r="637" ht="16.5" customHeight="1">
      <c r="A637" s="6"/>
      <c r="B637" s="6"/>
      <c r="C637" s="6"/>
      <c r="D637" s="6"/>
      <c r="E637" s="6"/>
      <c r="F637" s="6"/>
      <c r="G637" s="6"/>
      <c r="H637" s="93"/>
      <c r="I637" s="93"/>
      <c r="J637" s="93"/>
      <c r="K637" s="93"/>
      <c r="L637" s="93"/>
      <c r="M637" s="6"/>
      <c r="N637" s="6"/>
      <c r="O637" s="6"/>
      <c r="P637" s="6"/>
      <c r="Q637" s="6"/>
      <c r="R637" s="6"/>
      <c r="S637" s="6"/>
      <c r="T637" s="6"/>
      <c r="U637" s="6"/>
      <c r="V637" s="6"/>
      <c r="W637" s="6"/>
      <c r="X637" s="6"/>
      <c r="Y637" s="6"/>
      <c r="Z637" s="6"/>
      <c r="AA637" s="6"/>
      <c r="AB637" s="6"/>
    </row>
    <row r="638" ht="16.5" customHeight="1">
      <c r="A638" s="6"/>
      <c r="B638" s="6"/>
      <c r="C638" s="6"/>
      <c r="D638" s="6"/>
      <c r="E638" s="6"/>
      <c r="F638" s="6"/>
      <c r="G638" s="6"/>
      <c r="H638" s="93"/>
      <c r="I638" s="93"/>
      <c r="J638" s="93"/>
      <c r="K638" s="93"/>
      <c r="L638" s="93"/>
      <c r="M638" s="6"/>
      <c r="N638" s="6"/>
      <c r="O638" s="6"/>
      <c r="P638" s="6"/>
      <c r="Q638" s="6"/>
      <c r="R638" s="6"/>
      <c r="S638" s="6"/>
      <c r="T638" s="6"/>
      <c r="U638" s="6"/>
      <c r="V638" s="6"/>
      <c r="W638" s="6"/>
      <c r="X638" s="6"/>
      <c r="Y638" s="6"/>
      <c r="Z638" s="6"/>
      <c r="AA638" s="6"/>
      <c r="AB638" s="6"/>
    </row>
    <row r="639" ht="16.5" customHeight="1">
      <c r="A639" s="6"/>
      <c r="B639" s="6"/>
      <c r="C639" s="6"/>
      <c r="D639" s="6"/>
      <c r="E639" s="6"/>
      <c r="F639" s="6"/>
      <c r="G639" s="6"/>
      <c r="H639" s="93"/>
      <c r="I639" s="93"/>
      <c r="J639" s="93"/>
      <c r="K639" s="93"/>
      <c r="L639" s="93"/>
      <c r="M639" s="6"/>
      <c r="N639" s="6"/>
      <c r="O639" s="6"/>
      <c r="P639" s="6"/>
      <c r="Q639" s="6"/>
      <c r="R639" s="6"/>
      <c r="S639" s="6"/>
      <c r="T639" s="6"/>
      <c r="U639" s="6"/>
      <c r="V639" s="6"/>
      <c r="W639" s="6"/>
      <c r="X639" s="6"/>
      <c r="Y639" s="6"/>
      <c r="Z639" s="6"/>
      <c r="AA639" s="6"/>
      <c r="AB639" s="6"/>
    </row>
    <row r="640" ht="16.5" customHeight="1">
      <c r="A640" s="6"/>
      <c r="B640" s="6"/>
      <c r="C640" s="6"/>
      <c r="D640" s="6"/>
      <c r="E640" s="6"/>
      <c r="F640" s="6"/>
      <c r="G640" s="6"/>
      <c r="H640" s="93"/>
      <c r="I640" s="93"/>
      <c r="J640" s="93"/>
      <c r="K640" s="93"/>
      <c r="L640" s="93"/>
      <c r="M640" s="6"/>
      <c r="N640" s="6"/>
      <c r="O640" s="6"/>
      <c r="P640" s="6"/>
      <c r="Q640" s="6"/>
      <c r="R640" s="6"/>
      <c r="S640" s="6"/>
      <c r="T640" s="6"/>
      <c r="U640" s="6"/>
      <c r="V640" s="6"/>
      <c r="W640" s="6"/>
      <c r="X640" s="6"/>
      <c r="Y640" s="6"/>
      <c r="Z640" s="6"/>
      <c r="AA640" s="6"/>
      <c r="AB640" s="6"/>
    </row>
    <row r="641" ht="16.5" customHeight="1">
      <c r="A641" s="6"/>
      <c r="B641" s="6"/>
      <c r="C641" s="6"/>
      <c r="D641" s="6"/>
      <c r="E641" s="6"/>
      <c r="F641" s="6"/>
      <c r="G641" s="6"/>
      <c r="H641" s="93"/>
      <c r="I641" s="93"/>
      <c r="J641" s="93"/>
      <c r="K641" s="93"/>
      <c r="L641" s="93"/>
      <c r="M641" s="6"/>
      <c r="N641" s="6"/>
      <c r="O641" s="6"/>
      <c r="P641" s="6"/>
      <c r="Q641" s="6"/>
      <c r="R641" s="6"/>
      <c r="S641" s="6"/>
      <c r="T641" s="6"/>
      <c r="U641" s="6"/>
      <c r="V641" s="6"/>
      <c r="W641" s="6"/>
      <c r="X641" s="6"/>
      <c r="Y641" s="6"/>
      <c r="Z641" s="6"/>
      <c r="AA641" s="6"/>
      <c r="AB641" s="6"/>
    </row>
    <row r="642" ht="16.5" customHeight="1">
      <c r="A642" s="6"/>
      <c r="B642" s="6"/>
      <c r="C642" s="6"/>
      <c r="D642" s="6"/>
      <c r="E642" s="6"/>
      <c r="F642" s="6"/>
      <c r="G642" s="6"/>
      <c r="H642" s="93"/>
      <c r="I642" s="93"/>
      <c r="J642" s="93"/>
      <c r="K642" s="93"/>
      <c r="L642" s="93"/>
      <c r="M642" s="6"/>
      <c r="N642" s="6"/>
      <c r="O642" s="6"/>
      <c r="P642" s="6"/>
      <c r="Q642" s="6"/>
      <c r="R642" s="6"/>
      <c r="S642" s="6"/>
      <c r="T642" s="6"/>
      <c r="U642" s="6"/>
      <c r="V642" s="6"/>
      <c r="W642" s="6"/>
      <c r="X642" s="6"/>
      <c r="Y642" s="6"/>
      <c r="Z642" s="6"/>
      <c r="AA642" s="6"/>
      <c r="AB642" s="6"/>
    </row>
    <row r="643" ht="16.5" customHeight="1">
      <c r="A643" s="6"/>
      <c r="B643" s="6"/>
      <c r="C643" s="6"/>
      <c r="D643" s="6"/>
      <c r="E643" s="6"/>
      <c r="F643" s="6"/>
      <c r="G643" s="6"/>
      <c r="H643" s="93"/>
      <c r="I643" s="93"/>
      <c r="J643" s="93"/>
      <c r="K643" s="93"/>
      <c r="L643" s="93"/>
      <c r="M643" s="6"/>
      <c r="N643" s="6"/>
      <c r="O643" s="6"/>
      <c r="P643" s="6"/>
      <c r="Q643" s="6"/>
      <c r="R643" s="6"/>
      <c r="S643" s="6"/>
      <c r="T643" s="6"/>
      <c r="U643" s="6"/>
      <c r="V643" s="6"/>
      <c r="W643" s="6"/>
      <c r="X643" s="6"/>
      <c r="Y643" s="6"/>
      <c r="Z643" s="6"/>
      <c r="AA643" s="6"/>
      <c r="AB643" s="6"/>
    </row>
    <row r="644" ht="16.5" customHeight="1">
      <c r="A644" s="6"/>
      <c r="B644" s="6"/>
      <c r="C644" s="6"/>
      <c r="D644" s="6"/>
      <c r="E644" s="6"/>
      <c r="F644" s="6"/>
      <c r="G644" s="6"/>
      <c r="H644" s="93"/>
      <c r="I644" s="93"/>
      <c r="J644" s="93"/>
      <c r="K644" s="93"/>
      <c r="L644" s="93"/>
      <c r="M644" s="6"/>
      <c r="N644" s="6"/>
      <c r="O644" s="6"/>
      <c r="P644" s="6"/>
      <c r="Q644" s="6"/>
      <c r="R644" s="6"/>
      <c r="S644" s="6"/>
      <c r="T644" s="6"/>
      <c r="U644" s="6"/>
      <c r="V644" s="6"/>
      <c r="W644" s="6"/>
      <c r="X644" s="6"/>
      <c r="Y644" s="6"/>
      <c r="Z644" s="6"/>
      <c r="AA644" s="6"/>
      <c r="AB644" s="6"/>
    </row>
    <row r="645" ht="16.5" customHeight="1">
      <c r="A645" s="6"/>
      <c r="B645" s="6"/>
      <c r="C645" s="6"/>
      <c r="D645" s="6"/>
      <c r="E645" s="6"/>
      <c r="F645" s="6"/>
      <c r="G645" s="6"/>
      <c r="H645" s="93"/>
      <c r="I645" s="93"/>
      <c r="J645" s="93"/>
      <c r="K645" s="93"/>
      <c r="L645" s="93"/>
      <c r="M645" s="6"/>
      <c r="N645" s="6"/>
      <c r="O645" s="6"/>
      <c r="P645" s="6"/>
      <c r="Q645" s="6"/>
      <c r="R645" s="6"/>
      <c r="S645" s="6"/>
      <c r="T645" s="6"/>
      <c r="U645" s="6"/>
      <c r="V645" s="6"/>
      <c r="W645" s="6"/>
      <c r="X645" s="6"/>
      <c r="Y645" s="6"/>
      <c r="Z645" s="6"/>
      <c r="AA645" s="6"/>
      <c r="AB645" s="6"/>
    </row>
    <row r="646" ht="16.5" customHeight="1">
      <c r="A646" s="6"/>
      <c r="B646" s="6"/>
      <c r="C646" s="6"/>
      <c r="D646" s="6"/>
      <c r="E646" s="6"/>
      <c r="F646" s="6"/>
      <c r="G646" s="6"/>
      <c r="H646" s="93"/>
      <c r="I646" s="93"/>
      <c r="J646" s="93"/>
      <c r="K646" s="93"/>
      <c r="L646" s="93"/>
      <c r="M646" s="6"/>
      <c r="N646" s="6"/>
      <c r="O646" s="6"/>
      <c r="P646" s="6"/>
      <c r="Q646" s="6"/>
      <c r="R646" s="6"/>
      <c r="S646" s="6"/>
      <c r="T646" s="6"/>
      <c r="U646" s="6"/>
      <c r="V646" s="6"/>
      <c r="W646" s="6"/>
      <c r="X646" s="6"/>
      <c r="Y646" s="6"/>
      <c r="Z646" s="6"/>
      <c r="AA646" s="6"/>
      <c r="AB646" s="6"/>
    </row>
    <row r="647" ht="16.5" customHeight="1">
      <c r="A647" s="6"/>
      <c r="B647" s="6"/>
      <c r="C647" s="6"/>
      <c r="D647" s="6"/>
      <c r="E647" s="6"/>
      <c r="F647" s="6"/>
      <c r="G647" s="6"/>
      <c r="H647" s="93"/>
      <c r="I647" s="93"/>
      <c r="J647" s="93"/>
      <c r="K647" s="93"/>
      <c r="L647" s="93"/>
      <c r="M647" s="6"/>
      <c r="N647" s="6"/>
      <c r="O647" s="6"/>
      <c r="P647" s="6"/>
      <c r="Q647" s="6"/>
      <c r="R647" s="6"/>
      <c r="S647" s="6"/>
      <c r="T647" s="6"/>
      <c r="U647" s="6"/>
      <c r="V647" s="6"/>
      <c r="W647" s="6"/>
      <c r="X647" s="6"/>
      <c r="Y647" s="6"/>
      <c r="Z647" s="6"/>
      <c r="AA647" s="6"/>
      <c r="AB647" s="6"/>
    </row>
    <row r="648" ht="16.5" customHeight="1">
      <c r="A648" s="6"/>
      <c r="B648" s="6"/>
      <c r="C648" s="6"/>
      <c r="D648" s="6"/>
      <c r="E648" s="6"/>
      <c r="F648" s="6"/>
      <c r="G648" s="6"/>
      <c r="H648" s="93"/>
      <c r="I648" s="93"/>
      <c r="J648" s="93"/>
      <c r="K648" s="93"/>
      <c r="L648" s="93"/>
      <c r="M648" s="6"/>
      <c r="N648" s="6"/>
      <c r="O648" s="6"/>
      <c r="P648" s="6"/>
      <c r="Q648" s="6"/>
      <c r="R648" s="6"/>
      <c r="S648" s="6"/>
      <c r="T648" s="6"/>
      <c r="U648" s="6"/>
      <c r="V648" s="6"/>
      <c r="W648" s="6"/>
      <c r="X648" s="6"/>
      <c r="Y648" s="6"/>
      <c r="Z648" s="6"/>
      <c r="AA648" s="6"/>
      <c r="AB648" s="6"/>
    </row>
    <row r="649" ht="16.5" customHeight="1">
      <c r="A649" s="6"/>
      <c r="B649" s="6"/>
      <c r="C649" s="6"/>
      <c r="D649" s="6"/>
      <c r="E649" s="6"/>
      <c r="F649" s="6"/>
      <c r="G649" s="6"/>
      <c r="H649" s="93"/>
      <c r="I649" s="93"/>
      <c r="J649" s="93"/>
      <c r="K649" s="93"/>
      <c r="L649" s="93"/>
      <c r="M649" s="6"/>
      <c r="N649" s="6"/>
      <c r="O649" s="6"/>
      <c r="P649" s="6"/>
      <c r="Q649" s="6"/>
      <c r="R649" s="6"/>
      <c r="S649" s="6"/>
      <c r="T649" s="6"/>
      <c r="U649" s="6"/>
      <c r="V649" s="6"/>
      <c r="W649" s="6"/>
      <c r="X649" s="6"/>
      <c r="Y649" s="6"/>
      <c r="Z649" s="6"/>
      <c r="AA649" s="6"/>
      <c r="AB649" s="6"/>
    </row>
    <row r="650" ht="16.5" customHeight="1">
      <c r="A650" s="6"/>
      <c r="B650" s="6"/>
      <c r="C650" s="6"/>
      <c r="D650" s="6"/>
      <c r="E650" s="6"/>
      <c r="F650" s="6"/>
      <c r="G650" s="6"/>
      <c r="H650" s="93"/>
      <c r="I650" s="93"/>
      <c r="J650" s="93"/>
      <c r="K650" s="93"/>
      <c r="L650" s="93"/>
      <c r="M650" s="6"/>
      <c r="N650" s="6"/>
      <c r="O650" s="6"/>
      <c r="P650" s="6"/>
      <c r="Q650" s="6"/>
      <c r="R650" s="6"/>
      <c r="S650" s="6"/>
      <c r="T650" s="6"/>
      <c r="U650" s="6"/>
      <c r="V650" s="6"/>
      <c r="W650" s="6"/>
      <c r="X650" s="6"/>
      <c r="Y650" s="6"/>
      <c r="Z650" s="6"/>
      <c r="AA650" s="6"/>
      <c r="AB650" s="6"/>
    </row>
    <row r="651" ht="16.5" customHeight="1">
      <c r="A651" s="6"/>
      <c r="B651" s="6"/>
      <c r="C651" s="6"/>
      <c r="D651" s="6"/>
      <c r="E651" s="6"/>
      <c r="F651" s="6"/>
      <c r="G651" s="6"/>
      <c r="H651" s="93"/>
      <c r="I651" s="93"/>
      <c r="J651" s="93"/>
      <c r="K651" s="93"/>
      <c r="L651" s="93"/>
      <c r="M651" s="6"/>
      <c r="N651" s="6"/>
      <c r="O651" s="6"/>
      <c r="P651" s="6"/>
      <c r="Q651" s="6"/>
      <c r="R651" s="6"/>
      <c r="S651" s="6"/>
      <c r="T651" s="6"/>
      <c r="U651" s="6"/>
      <c r="V651" s="6"/>
      <c r="W651" s="6"/>
      <c r="X651" s="6"/>
      <c r="Y651" s="6"/>
      <c r="Z651" s="6"/>
      <c r="AA651" s="6"/>
      <c r="AB651" s="6"/>
    </row>
    <row r="652" ht="16.5" customHeight="1">
      <c r="A652" s="6"/>
      <c r="B652" s="6"/>
      <c r="C652" s="6"/>
      <c r="D652" s="6"/>
      <c r="E652" s="6"/>
      <c r="F652" s="6"/>
      <c r="G652" s="6"/>
      <c r="H652" s="93"/>
      <c r="I652" s="93"/>
      <c r="J652" s="93"/>
      <c r="K652" s="93"/>
      <c r="L652" s="93"/>
      <c r="M652" s="6"/>
      <c r="N652" s="6"/>
      <c r="O652" s="6"/>
      <c r="P652" s="6"/>
      <c r="Q652" s="6"/>
      <c r="R652" s="6"/>
      <c r="S652" s="6"/>
      <c r="T652" s="6"/>
      <c r="U652" s="6"/>
      <c r="V652" s="6"/>
      <c r="W652" s="6"/>
      <c r="X652" s="6"/>
      <c r="Y652" s="6"/>
      <c r="Z652" s="6"/>
      <c r="AA652" s="6"/>
      <c r="AB652" s="6"/>
    </row>
    <row r="653" ht="16.5" customHeight="1">
      <c r="A653" s="6"/>
      <c r="B653" s="6"/>
      <c r="C653" s="6"/>
      <c r="D653" s="6"/>
      <c r="E653" s="6"/>
      <c r="F653" s="6"/>
      <c r="G653" s="6"/>
      <c r="H653" s="93"/>
      <c r="I653" s="93"/>
      <c r="J653" s="93"/>
      <c r="K653" s="93"/>
      <c r="L653" s="93"/>
      <c r="M653" s="6"/>
      <c r="N653" s="6"/>
      <c r="O653" s="6"/>
      <c r="P653" s="6"/>
      <c r="Q653" s="6"/>
      <c r="R653" s="6"/>
      <c r="S653" s="6"/>
      <c r="T653" s="6"/>
      <c r="U653" s="6"/>
      <c r="V653" s="6"/>
      <c r="W653" s="6"/>
      <c r="X653" s="6"/>
      <c r="Y653" s="6"/>
      <c r="Z653" s="6"/>
      <c r="AA653" s="6"/>
      <c r="AB653" s="6"/>
    </row>
    <row r="654" ht="16.5" customHeight="1">
      <c r="A654" s="6"/>
      <c r="B654" s="6"/>
      <c r="C654" s="6"/>
      <c r="D654" s="6"/>
      <c r="E654" s="6"/>
      <c r="F654" s="6"/>
      <c r="G654" s="6"/>
      <c r="H654" s="93"/>
      <c r="I654" s="93"/>
      <c r="J654" s="93"/>
      <c r="K654" s="93"/>
      <c r="L654" s="93"/>
      <c r="M654" s="6"/>
      <c r="N654" s="6"/>
      <c r="O654" s="6"/>
      <c r="P654" s="6"/>
      <c r="Q654" s="6"/>
      <c r="R654" s="6"/>
      <c r="S654" s="6"/>
      <c r="T654" s="6"/>
      <c r="U654" s="6"/>
      <c r="V654" s="6"/>
      <c r="W654" s="6"/>
      <c r="X654" s="6"/>
      <c r="Y654" s="6"/>
      <c r="Z654" s="6"/>
      <c r="AA654" s="6"/>
      <c r="AB654" s="6"/>
    </row>
    <row r="655" ht="16.5" customHeight="1">
      <c r="A655" s="6"/>
      <c r="B655" s="6"/>
      <c r="C655" s="6"/>
      <c r="D655" s="6"/>
      <c r="E655" s="6"/>
      <c r="F655" s="6"/>
      <c r="G655" s="6"/>
      <c r="H655" s="93"/>
      <c r="I655" s="93"/>
      <c r="J655" s="93"/>
      <c r="K655" s="93"/>
      <c r="L655" s="93"/>
      <c r="M655" s="6"/>
      <c r="N655" s="6"/>
      <c r="O655" s="6"/>
      <c r="P655" s="6"/>
      <c r="Q655" s="6"/>
      <c r="R655" s="6"/>
      <c r="S655" s="6"/>
      <c r="T655" s="6"/>
      <c r="U655" s="6"/>
      <c r="V655" s="6"/>
      <c r="W655" s="6"/>
      <c r="X655" s="6"/>
      <c r="Y655" s="6"/>
      <c r="Z655" s="6"/>
      <c r="AA655" s="6"/>
      <c r="AB655" s="6"/>
    </row>
    <row r="656" ht="16.5" customHeight="1">
      <c r="A656" s="6"/>
      <c r="B656" s="6"/>
      <c r="C656" s="6"/>
      <c r="D656" s="6"/>
      <c r="E656" s="6"/>
      <c r="F656" s="6"/>
      <c r="G656" s="6"/>
      <c r="H656" s="93"/>
      <c r="I656" s="93"/>
      <c r="J656" s="93"/>
      <c r="K656" s="93"/>
      <c r="L656" s="93"/>
      <c r="M656" s="6"/>
      <c r="N656" s="6"/>
      <c r="O656" s="6"/>
      <c r="P656" s="6"/>
      <c r="Q656" s="6"/>
      <c r="R656" s="6"/>
      <c r="S656" s="6"/>
      <c r="T656" s="6"/>
      <c r="U656" s="6"/>
      <c r="V656" s="6"/>
      <c r="W656" s="6"/>
      <c r="X656" s="6"/>
      <c r="Y656" s="6"/>
      <c r="Z656" s="6"/>
      <c r="AA656" s="6"/>
      <c r="AB656" s="6"/>
    </row>
    <row r="657" ht="16.5" customHeight="1">
      <c r="A657" s="6"/>
      <c r="B657" s="6"/>
      <c r="C657" s="6"/>
      <c r="D657" s="6"/>
      <c r="E657" s="6"/>
      <c r="F657" s="6"/>
      <c r="G657" s="6"/>
      <c r="H657" s="93"/>
      <c r="I657" s="93"/>
      <c r="J657" s="93"/>
      <c r="K657" s="93"/>
      <c r="L657" s="93"/>
      <c r="M657" s="6"/>
      <c r="N657" s="6"/>
      <c r="O657" s="6"/>
      <c r="P657" s="6"/>
      <c r="Q657" s="6"/>
      <c r="R657" s="6"/>
      <c r="S657" s="6"/>
      <c r="T657" s="6"/>
      <c r="U657" s="6"/>
      <c r="V657" s="6"/>
      <c r="W657" s="6"/>
      <c r="X657" s="6"/>
      <c r="Y657" s="6"/>
      <c r="Z657" s="6"/>
      <c r="AA657" s="6"/>
      <c r="AB657" s="6"/>
    </row>
    <row r="658" ht="16.5" customHeight="1">
      <c r="A658" s="6"/>
      <c r="B658" s="6"/>
      <c r="C658" s="6"/>
      <c r="D658" s="6"/>
      <c r="E658" s="6"/>
      <c r="F658" s="6"/>
      <c r="G658" s="6"/>
      <c r="H658" s="93"/>
      <c r="I658" s="93"/>
      <c r="J658" s="93"/>
      <c r="K658" s="93"/>
      <c r="L658" s="93"/>
      <c r="M658" s="6"/>
      <c r="N658" s="6"/>
      <c r="O658" s="6"/>
      <c r="P658" s="6"/>
      <c r="Q658" s="6"/>
      <c r="R658" s="6"/>
      <c r="S658" s="6"/>
      <c r="T658" s="6"/>
      <c r="U658" s="6"/>
      <c r="V658" s="6"/>
      <c r="W658" s="6"/>
      <c r="X658" s="6"/>
      <c r="Y658" s="6"/>
      <c r="Z658" s="6"/>
      <c r="AA658" s="6"/>
      <c r="AB658" s="6"/>
    </row>
    <row r="659" ht="16.5" customHeight="1">
      <c r="A659" s="6"/>
      <c r="B659" s="6"/>
      <c r="C659" s="6"/>
      <c r="D659" s="6"/>
      <c r="E659" s="6"/>
      <c r="F659" s="6"/>
      <c r="G659" s="6"/>
      <c r="H659" s="93"/>
      <c r="I659" s="93"/>
      <c r="J659" s="93"/>
      <c r="K659" s="93"/>
      <c r="L659" s="93"/>
      <c r="M659" s="6"/>
      <c r="N659" s="6"/>
      <c r="O659" s="6"/>
      <c r="P659" s="6"/>
      <c r="Q659" s="6"/>
      <c r="R659" s="6"/>
      <c r="S659" s="6"/>
      <c r="T659" s="6"/>
      <c r="U659" s="6"/>
      <c r="V659" s="6"/>
      <c r="W659" s="6"/>
      <c r="X659" s="6"/>
      <c r="Y659" s="6"/>
      <c r="Z659" s="6"/>
      <c r="AA659" s="6"/>
      <c r="AB659" s="6"/>
    </row>
    <row r="660" ht="16.5" customHeight="1">
      <c r="A660" s="6"/>
      <c r="B660" s="6"/>
      <c r="C660" s="6"/>
      <c r="D660" s="6"/>
      <c r="E660" s="6"/>
      <c r="F660" s="6"/>
      <c r="G660" s="6"/>
      <c r="H660" s="93"/>
      <c r="I660" s="93"/>
      <c r="J660" s="93"/>
      <c r="K660" s="93"/>
      <c r="L660" s="93"/>
      <c r="M660" s="6"/>
      <c r="N660" s="6"/>
      <c r="O660" s="6"/>
      <c r="P660" s="6"/>
      <c r="Q660" s="6"/>
      <c r="R660" s="6"/>
      <c r="S660" s="6"/>
      <c r="T660" s="6"/>
      <c r="U660" s="6"/>
      <c r="V660" s="6"/>
      <c r="W660" s="6"/>
      <c r="X660" s="6"/>
      <c r="Y660" s="6"/>
      <c r="Z660" s="6"/>
      <c r="AA660" s="6"/>
      <c r="AB660" s="6"/>
    </row>
    <row r="661" ht="16.5" customHeight="1">
      <c r="A661" s="6"/>
      <c r="B661" s="6"/>
      <c r="C661" s="6"/>
      <c r="D661" s="6"/>
      <c r="E661" s="6"/>
      <c r="F661" s="6"/>
      <c r="G661" s="6"/>
      <c r="H661" s="93"/>
      <c r="I661" s="93"/>
      <c r="J661" s="93"/>
      <c r="K661" s="93"/>
      <c r="L661" s="93"/>
      <c r="M661" s="6"/>
      <c r="N661" s="6"/>
      <c r="O661" s="6"/>
      <c r="P661" s="6"/>
      <c r="Q661" s="6"/>
      <c r="R661" s="6"/>
      <c r="S661" s="6"/>
      <c r="T661" s="6"/>
      <c r="U661" s="6"/>
      <c r="V661" s="6"/>
      <c r="W661" s="6"/>
      <c r="X661" s="6"/>
      <c r="Y661" s="6"/>
      <c r="Z661" s="6"/>
      <c r="AA661" s="6"/>
      <c r="AB661" s="6"/>
    </row>
    <row r="662" ht="16.5" customHeight="1">
      <c r="A662" s="6"/>
      <c r="B662" s="6"/>
      <c r="C662" s="6"/>
      <c r="D662" s="6"/>
      <c r="E662" s="6"/>
      <c r="F662" s="6"/>
      <c r="G662" s="6"/>
      <c r="H662" s="93"/>
      <c r="I662" s="93"/>
      <c r="J662" s="93"/>
      <c r="K662" s="93"/>
      <c r="L662" s="93"/>
      <c r="M662" s="6"/>
      <c r="N662" s="6"/>
      <c r="O662" s="6"/>
      <c r="P662" s="6"/>
      <c r="Q662" s="6"/>
      <c r="R662" s="6"/>
      <c r="S662" s="6"/>
      <c r="T662" s="6"/>
      <c r="U662" s="6"/>
      <c r="V662" s="6"/>
      <c r="W662" s="6"/>
      <c r="X662" s="6"/>
      <c r="Y662" s="6"/>
      <c r="Z662" s="6"/>
      <c r="AA662" s="6"/>
      <c r="AB662" s="6"/>
    </row>
    <row r="663" ht="16.5" customHeight="1">
      <c r="A663" s="6"/>
      <c r="B663" s="6"/>
      <c r="C663" s="6"/>
      <c r="D663" s="6"/>
      <c r="E663" s="6"/>
      <c r="F663" s="6"/>
      <c r="G663" s="6"/>
      <c r="H663" s="93"/>
      <c r="I663" s="93"/>
      <c r="J663" s="93"/>
      <c r="K663" s="93"/>
      <c r="L663" s="93"/>
      <c r="M663" s="6"/>
      <c r="N663" s="6"/>
      <c r="O663" s="6"/>
      <c r="P663" s="6"/>
      <c r="Q663" s="6"/>
      <c r="R663" s="6"/>
      <c r="S663" s="6"/>
      <c r="T663" s="6"/>
      <c r="U663" s="6"/>
      <c r="V663" s="6"/>
      <c r="W663" s="6"/>
      <c r="X663" s="6"/>
      <c r="Y663" s="6"/>
      <c r="Z663" s="6"/>
      <c r="AA663" s="6"/>
      <c r="AB663" s="6"/>
    </row>
    <row r="664" ht="16.5" customHeight="1">
      <c r="A664" s="6"/>
      <c r="B664" s="6"/>
      <c r="C664" s="6"/>
      <c r="D664" s="6"/>
      <c r="E664" s="6"/>
      <c r="F664" s="6"/>
      <c r="G664" s="6"/>
      <c r="H664" s="93"/>
      <c r="I664" s="93"/>
      <c r="J664" s="93"/>
      <c r="K664" s="93"/>
      <c r="L664" s="93"/>
      <c r="M664" s="6"/>
      <c r="N664" s="6"/>
      <c r="O664" s="6"/>
      <c r="P664" s="6"/>
      <c r="Q664" s="6"/>
      <c r="R664" s="6"/>
      <c r="S664" s="6"/>
      <c r="T664" s="6"/>
      <c r="U664" s="6"/>
      <c r="V664" s="6"/>
      <c r="W664" s="6"/>
      <c r="X664" s="6"/>
      <c r="Y664" s="6"/>
      <c r="Z664" s="6"/>
      <c r="AA664" s="6"/>
      <c r="AB664" s="6"/>
    </row>
    <row r="665" ht="16.5" customHeight="1">
      <c r="A665" s="6"/>
      <c r="B665" s="6"/>
      <c r="C665" s="6"/>
      <c r="D665" s="6"/>
      <c r="E665" s="6"/>
      <c r="F665" s="6"/>
      <c r="G665" s="6"/>
      <c r="H665" s="93"/>
      <c r="I665" s="93"/>
      <c r="J665" s="93"/>
      <c r="K665" s="93"/>
      <c r="L665" s="93"/>
      <c r="M665" s="6"/>
      <c r="N665" s="6"/>
      <c r="O665" s="6"/>
      <c r="P665" s="6"/>
      <c r="Q665" s="6"/>
      <c r="R665" s="6"/>
      <c r="S665" s="6"/>
      <c r="T665" s="6"/>
      <c r="U665" s="6"/>
      <c r="V665" s="6"/>
      <c r="W665" s="6"/>
      <c r="X665" s="6"/>
      <c r="Y665" s="6"/>
      <c r="Z665" s="6"/>
      <c r="AA665" s="6"/>
      <c r="AB665" s="6"/>
    </row>
    <row r="666" ht="16.5" customHeight="1">
      <c r="A666" s="6"/>
      <c r="B666" s="6"/>
      <c r="C666" s="6"/>
      <c r="D666" s="6"/>
      <c r="E666" s="6"/>
      <c r="F666" s="6"/>
      <c r="G666" s="6"/>
      <c r="H666" s="93"/>
      <c r="I666" s="93"/>
      <c r="J666" s="93"/>
      <c r="K666" s="93"/>
      <c r="L666" s="93"/>
      <c r="M666" s="6"/>
      <c r="N666" s="6"/>
      <c r="O666" s="6"/>
      <c r="P666" s="6"/>
      <c r="Q666" s="6"/>
      <c r="R666" s="6"/>
      <c r="S666" s="6"/>
      <c r="T666" s="6"/>
      <c r="U666" s="6"/>
      <c r="V666" s="6"/>
      <c r="W666" s="6"/>
      <c r="X666" s="6"/>
      <c r="Y666" s="6"/>
      <c r="Z666" s="6"/>
      <c r="AA666" s="6"/>
      <c r="AB666" s="6"/>
    </row>
    <row r="667" ht="16.5" customHeight="1">
      <c r="A667" s="6"/>
      <c r="B667" s="6"/>
      <c r="C667" s="6"/>
      <c r="D667" s="6"/>
      <c r="E667" s="6"/>
      <c r="F667" s="6"/>
      <c r="G667" s="6"/>
      <c r="H667" s="93"/>
      <c r="I667" s="93"/>
      <c r="J667" s="93"/>
      <c r="K667" s="93"/>
      <c r="L667" s="93"/>
      <c r="M667" s="6"/>
      <c r="N667" s="6"/>
      <c r="O667" s="6"/>
      <c r="P667" s="6"/>
      <c r="Q667" s="6"/>
      <c r="R667" s="6"/>
      <c r="S667" s="6"/>
      <c r="T667" s="6"/>
      <c r="U667" s="6"/>
      <c r="V667" s="6"/>
      <c r="W667" s="6"/>
      <c r="X667" s="6"/>
      <c r="Y667" s="6"/>
      <c r="Z667" s="6"/>
      <c r="AA667" s="6"/>
      <c r="AB667" s="6"/>
    </row>
    <row r="668" ht="16.5" customHeight="1">
      <c r="A668" s="6"/>
      <c r="B668" s="6"/>
      <c r="C668" s="6"/>
      <c r="D668" s="6"/>
      <c r="E668" s="6"/>
      <c r="F668" s="6"/>
      <c r="G668" s="6"/>
      <c r="H668" s="93"/>
      <c r="I668" s="93"/>
      <c r="J668" s="93"/>
      <c r="K668" s="93"/>
      <c r="L668" s="93"/>
      <c r="M668" s="6"/>
      <c r="N668" s="6"/>
      <c r="O668" s="6"/>
      <c r="P668" s="6"/>
      <c r="Q668" s="6"/>
      <c r="R668" s="6"/>
      <c r="S668" s="6"/>
      <c r="T668" s="6"/>
      <c r="U668" s="6"/>
      <c r="V668" s="6"/>
      <c r="W668" s="6"/>
      <c r="X668" s="6"/>
      <c r="Y668" s="6"/>
      <c r="Z668" s="6"/>
      <c r="AA668" s="6"/>
      <c r="AB668" s="6"/>
    </row>
    <row r="669" ht="16.5" customHeight="1">
      <c r="A669" s="6"/>
      <c r="B669" s="6"/>
      <c r="C669" s="6"/>
      <c r="D669" s="6"/>
      <c r="E669" s="6"/>
      <c r="F669" s="6"/>
      <c r="G669" s="6"/>
      <c r="H669" s="93"/>
      <c r="I669" s="93"/>
      <c r="J669" s="93"/>
      <c r="K669" s="93"/>
      <c r="L669" s="93"/>
      <c r="M669" s="6"/>
      <c r="N669" s="6"/>
      <c r="O669" s="6"/>
      <c r="P669" s="6"/>
      <c r="Q669" s="6"/>
      <c r="R669" s="6"/>
      <c r="S669" s="6"/>
      <c r="T669" s="6"/>
      <c r="U669" s="6"/>
      <c r="V669" s="6"/>
      <c r="W669" s="6"/>
      <c r="X669" s="6"/>
      <c r="Y669" s="6"/>
      <c r="Z669" s="6"/>
      <c r="AA669" s="6"/>
      <c r="AB669" s="6"/>
    </row>
    <row r="670" ht="16.5" customHeight="1">
      <c r="A670" s="6"/>
      <c r="B670" s="6"/>
      <c r="C670" s="6"/>
      <c r="D670" s="6"/>
      <c r="E670" s="6"/>
      <c r="F670" s="6"/>
      <c r="G670" s="6"/>
      <c r="H670" s="93"/>
      <c r="I670" s="93"/>
      <c r="J670" s="93"/>
      <c r="K670" s="93"/>
      <c r="L670" s="93"/>
      <c r="M670" s="6"/>
      <c r="N670" s="6"/>
      <c r="O670" s="6"/>
      <c r="P670" s="6"/>
      <c r="Q670" s="6"/>
      <c r="R670" s="6"/>
      <c r="S670" s="6"/>
      <c r="T670" s="6"/>
      <c r="U670" s="6"/>
      <c r="V670" s="6"/>
      <c r="W670" s="6"/>
      <c r="X670" s="6"/>
      <c r="Y670" s="6"/>
      <c r="Z670" s="6"/>
      <c r="AA670" s="6"/>
      <c r="AB670" s="6"/>
    </row>
    <row r="671" ht="16.5" customHeight="1">
      <c r="A671" s="6"/>
      <c r="B671" s="6"/>
      <c r="C671" s="6"/>
      <c r="D671" s="6"/>
      <c r="E671" s="6"/>
      <c r="F671" s="6"/>
      <c r="G671" s="6"/>
      <c r="H671" s="93"/>
      <c r="I671" s="93"/>
      <c r="J671" s="93"/>
      <c r="K671" s="93"/>
      <c r="L671" s="93"/>
      <c r="M671" s="6"/>
      <c r="N671" s="6"/>
      <c r="O671" s="6"/>
      <c r="P671" s="6"/>
      <c r="Q671" s="6"/>
      <c r="R671" s="6"/>
      <c r="S671" s="6"/>
      <c r="T671" s="6"/>
      <c r="U671" s="6"/>
      <c r="V671" s="6"/>
      <c r="W671" s="6"/>
      <c r="X671" s="6"/>
      <c r="Y671" s="6"/>
      <c r="Z671" s="6"/>
      <c r="AA671" s="6"/>
      <c r="AB671" s="6"/>
    </row>
    <row r="672" ht="16.5" customHeight="1">
      <c r="A672" s="6"/>
      <c r="B672" s="6"/>
      <c r="C672" s="6"/>
      <c r="D672" s="6"/>
      <c r="E672" s="6"/>
      <c r="F672" s="6"/>
      <c r="G672" s="6"/>
      <c r="H672" s="93"/>
      <c r="I672" s="93"/>
      <c r="J672" s="93"/>
      <c r="K672" s="93"/>
      <c r="L672" s="93"/>
      <c r="M672" s="6"/>
      <c r="N672" s="6"/>
      <c r="O672" s="6"/>
      <c r="P672" s="6"/>
      <c r="Q672" s="6"/>
      <c r="R672" s="6"/>
      <c r="S672" s="6"/>
      <c r="T672" s="6"/>
      <c r="U672" s="6"/>
      <c r="V672" s="6"/>
      <c r="W672" s="6"/>
      <c r="X672" s="6"/>
      <c r="Y672" s="6"/>
      <c r="Z672" s="6"/>
      <c r="AA672" s="6"/>
      <c r="AB672" s="6"/>
    </row>
    <row r="673" ht="16.5" customHeight="1">
      <c r="A673" s="6"/>
      <c r="B673" s="6"/>
      <c r="C673" s="6"/>
      <c r="D673" s="6"/>
      <c r="E673" s="6"/>
      <c r="F673" s="6"/>
      <c r="G673" s="6"/>
      <c r="H673" s="93"/>
      <c r="I673" s="93"/>
      <c r="J673" s="93"/>
      <c r="K673" s="93"/>
      <c r="L673" s="93"/>
      <c r="M673" s="6"/>
      <c r="N673" s="6"/>
      <c r="O673" s="6"/>
      <c r="P673" s="6"/>
      <c r="Q673" s="6"/>
      <c r="R673" s="6"/>
      <c r="S673" s="6"/>
      <c r="T673" s="6"/>
      <c r="U673" s="6"/>
      <c r="V673" s="6"/>
      <c r="W673" s="6"/>
      <c r="X673" s="6"/>
      <c r="Y673" s="6"/>
      <c r="Z673" s="6"/>
      <c r="AA673" s="6"/>
      <c r="AB673" s="6"/>
    </row>
    <row r="674" ht="16.5" customHeight="1">
      <c r="A674" s="6"/>
      <c r="B674" s="6"/>
      <c r="C674" s="6"/>
      <c r="D674" s="6"/>
      <c r="E674" s="6"/>
      <c r="F674" s="6"/>
      <c r="G674" s="6"/>
      <c r="H674" s="93"/>
      <c r="I674" s="93"/>
      <c r="J674" s="93"/>
      <c r="K674" s="93"/>
      <c r="L674" s="93"/>
      <c r="M674" s="6"/>
      <c r="N674" s="6"/>
      <c r="O674" s="6"/>
      <c r="P674" s="6"/>
      <c r="Q674" s="6"/>
      <c r="R674" s="6"/>
      <c r="S674" s="6"/>
      <c r="T674" s="6"/>
      <c r="U674" s="6"/>
      <c r="V674" s="6"/>
      <c r="W674" s="6"/>
      <c r="X674" s="6"/>
      <c r="Y674" s="6"/>
      <c r="Z674" s="6"/>
      <c r="AA674" s="6"/>
      <c r="AB674" s="6"/>
    </row>
    <row r="675" ht="16.5" customHeight="1">
      <c r="A675" s="6"/>
      <c r="B675" s="6"/>
      <c r="C675" s="6"/>
      <c r="D675" s="6"/>
      <c r="E675" s="6"/>
      <c r="F675" s="6"/>
      <c r="G675" s="6"/>
      <c r="H675" s="93"/>
      <c r="I675" s="93"/>
      <c r="J675" s="93"/>
      <c r="K675" s="93"/>
      <c r="L675" s="93"/>
      <c r="M675" s="6"/>
      <c r="N675" s="6"/>
      <c r="O675" s="6"/>
      <c r="P675" s="6"/>
      <c r="Q675" s="6"/>
      <c r="R675" s="6"/>
      <c r="S675" s="6"/>
      <c r="T675" s="6"/>
      <c r="U675" s="6"/>
      <c r="V675" s="6"/>
      <c r="W675" s="6"/>
      <c r="X675" s="6"/>
      <c r="Y675" s="6"/>
      <c r="Z675" s="6"/>
      <c r="AA675" s="6"/>
      <c r="AB675" s="6"/>
    </row>
    <row r="676" ht="16.5" customHeight="1">
      <c r="A676" s="6"/>
      <c r="B676" s="6"/>
      <c r="C676" s="6"/>
      <c r="D676" s="6"/>
      <c r="E676" s="6"/>
      <c r="F676" s="6"/>
      <c r="G676" s="6"/>
      <c r="H676" s="93"/>
      <c r="I676" s="93"/>
      <c r="J676" s="93"/>
      <c r="K676" s="93"/>
      <c r="L676" s="93"/>
      <c r="M676" s="6"/>
      <c r="N676" s="6"/>
      <c r="O676" s="6"/>
      <c r="P676" s="6"/>
      <c r="Q676" s="6"/>
      <c r="R676" s="6"/>
      <c r="S676" s="6"/>
      <c r="T676" s="6"/>
      <c r="U676" s="6"/>
      <c r="V676" s="6"/>
      <c r="W676" s="6"/>
      <c r="X676" s="6"/>
      <c r="Y676" s="6"/>
      <c r="Z676" s="6"/>
      <c r="AA676" s="6"/>
      <c r="AB676" s="6"/>
    </row>
    <row r="677" ht="16.5" customHeight="1">
      <c r="A677" s="6"/>
      <c r="B677" s="6"/>
      <c r="C677" s="6"/>
      <c r="D677" s="6"/>
      <c r="E677" s="6"/>
      <c r="F677" s="6"/>
      <c r="G677" s="6"/>
      <c r="H677" s="93"/>
      <c r="I677" s="93"/>
      <c r="J677" s="93"/>
      <c r="K677" s="93"/>
      <c r="L677" s="93"/>
      <c r="M677" s="6"/>
      <c r="N677" s="6"/>
      <c r="O677" s="6"/>
      <c r="P677" s="6"/>
      <c r="Q677" s="6"/>
      <c r="R677" s="6"/>
      <c r="S677" s="6"/>
      <c r="T677" s="6"/>
      <c r="U677" s="6"/>
      <c r="V677" s="6"/>
      <c r="W677" s="6"/>
      <c r="X677" s="6"/>
      <c r="Y677" s="6"/>
      <c r="Z677" s="6"/>
      <c r="AA677" s="6"/>
      <c r="AB677" s="6"/>
    </row>
    <row r="678" ht="16.5" customHeight="1">
      <c r="A678" s="6"/>
      <c r="B678" s="6"/>
      <c r="C678" s="6"/>
      <c r="D678" s="6"/>
      <c r="E678" s="6"/>
      <c r="F678" s="6"/>
      <c r="G678" s="6"/>
      <c r="H678" s="93"/>
      <c r="I678" s="93"/>
      <c r="J678" s="93"/>
      <c r="K678" s="93"/>
      <c r="L678" s="93"/>
      <c r="M678" s="6"/>
      <c r="N678" s="6"/>
      <c r="O678" s="6"/>
      <c r="P678" s="6"/>
      <c r="Q678" s="6"/>
      <c r="R678" s="6"/>
      <c r="S678" s="6"/>
      <c r="T678" s="6"/>
      <c r="U678" s="6"/>
      <c r="V678" s="6"/>
      <c r="W678" s="6"/>
      <c r="X678" s="6"/>
      <c r="Y678" s="6"/>
      <c r="Z678" s="6"/>
      <c r="AA678" s="6"/>
      <c r="AB678" s="6"/>
    </row>
    <row r="679" ht="16.5" customHeight="1">
      <c r="A679" s="6"/>
      <c r="B679" s="6"/>
      <c r="C679" s="6"/>
      <c r="D679" s="6"/>
      <c r="E679" s="6"/>
      <c r="F679" s="6"/>
      <c r="G679" s="6"/>
      <c r="H679" s="93"/>
      <c r="I679" s="93"/>
      <c r="J679" s="93"/>
      <c r="K679" s="93"/>
      <c r="L679" s="93"/>
      <c r="M679" s="6"/>
      <c r="N679" s="6"/>
      <c r="O679" s="6"/>
      <c r="P679" s="6"/>
      <c r="Q679" s="6"/>
      <c r="R679" s="6"/>
      <c r="S679" s="6"/>
      <c r="T679" s="6"/>
      <c r="U679" s="6"/>
      <c r="V679" s="6"/>
      <c r="W679" s="6"/>
      <c r="X679" s="6"/>
      <c r="Y679" s="6"/>
      <c r="Z679" s="6"/>
      <c r="AA679" s="6"/>
      <c r="AB679" s="6"/>
    </row>
    <row r="680" ht="16.5" customHeight="1">
      <c r="A680" s="6"/>
      <c r="B680" s="6"/>
      <c r="C680" s="6"/>
      <c r="D680" s="6"/>
      <c r="E680" s="6"/>
      <c r="F680" s="6"/>
      <c r="G680" s="6"/>
      <c r="H680" s="93"/>
      <c r="I680" s="93"/>
      <c r="J680" s="93"/>
      <c r="K680" s="93"/>
      <c r="L680" s="93"/>
      <c r="M680" s="6"/>
      <c r="N680" s="6"/>
      <c r="O680" s="6"/>
      <c r="P680" s="6"/>
      <c r="Q680" s="6"/>
      <c r="R680" s="6"/>
      <c r="S680" s="6"/>
      <c r="T680" s="6"/>
      <c r="U680" s="6"/>
      <c r="V680" s="6"/>
      <c r="W680" s="6"/>
      <c r="X680" s="6"/>
      <c r="Y680" s="6"/>
      <c r="Z680" s="6"/>
      <c r="AA680" s="6"/>
      <c r="AB680" s="6"/>
    </row>
    <row r="681" ht="16.5" customHeight="1">
      <c r="A681" s="6"/>
      <c r="B681" s="6"/>
      <c r="C681" s="6"/>
      <c r="D681" s="6"/>
      <c r="E681" s="6"/>
      <c r="F681" s="6"/>
      <c r="G681" s="6"/>
      <c r="H681" s="93"/>
      <c r="I681" s="93"/>
      <c r="J681" s="93"/>
      <c r="K681" s="93"/>
      <c r="L681" s="93"/>
      <c r="M681" s="6"/>
      <c r="N681" s="6"/>
      <c r="O681" s="6"/>
      <c r="P681" s="6"/>
      <c r="Q681" s="6"/>
      <c r="R681" s="6"/>
      <c r="S681" s="6"/>
      <c r="T681" s="6"/>
      <c r="U681" s="6"/>
      <c r="V681" s="6"/>
      <c r="W681" s="6"/>
      <c r="X681" s="6"/>
      <c r="Y681" s="6"/>
      <c r="Z681" s="6"/>
      <c r="AA681" s="6"/>
      <c r="AB681" s="6"/>
    </row>
    <row r="682" ht="16.5" customHeight="1">
      <c r="A682" s="6"/>
      <c r="B682" s="6"/>
      <c r="C682" s="6"/>
      <c r="D682" s="6"/>
      <c r="E682" s="6"/>
      <c r="F682" s="6"/>
      <c r="G682" s="6"/>
      <c r="H682" s="93"/>
      <c r="I682" s="93"/>
      <c r="J682" s="93"/>
      <c r="K682" s="93"/>
      <c r="L682" s="93"/>
      <c r="M682" s="6"/>
      <c r="N682" s="6"/>
      <c r="O682" s="6"/>
      <c r="P682" s="6"/>
      <c r="Q682" s="6"/>
      <c r="R682" s="6"/>
      <c r="S682" s="6"/>
      <c r="T682" s="6"/>
      <c r="U682" s="6"/>
      <c r="V682" s="6"/>
      <c r="W682" s="6"/>
      <c r="X682" s="6"/>
      <c r="Y682" s="6"/>
      <c r="Z682" s="6"/>
      <c r="AA682" s="6"/>
      <c r="AB682" s="6"/>
    </row>
    <row r="683" ht="16.5" customHeight="1">
      <c r="A683" s="6"/>
      <c r="B683" s="6"/>
      <c r="C683" s="6"/>
      <c r="D683" s="6"/>
      <c r="E683" s="6"/>
      <c r="F683" s="6"/>
      <c r="G683" s="6"/>
      <c r="H683" s="93"/>
      <c r="I683" s="93"/>
      <c r="J683" s="93"/>
      <c r="K683" s="93"/>
      <c r="L683" s="93"/>
      <c r="M683" s="6"/>
      <c r="N683" s="6"/>
      <c r="O683" s="6"/>
      <c r="P683" s="6"/>
      <c r="Q683" s="6"/>
      <c r="R683" s="6"/>
      <c r="S683" s="6"/>
      <c r="T683" s="6"/>
      <c r="U683" s="6"/>
      <c r="V683" s="6"/>
      <c r="W683" s="6"/>
      <c r="X683" s="6"/>
      <c r="Y683" s="6"/>
      <c r="Z683" s="6"/>
      <c r="AA683" s="6"/>
      <c r="AB683" s="6"/>
    </row>
    <row r="684" ht="16.5" customHeight="1">
      <c r="A684" s="6"/>
      <c r="B684" s="6"/>
      <c r="C684" s="6"/>
      <c r="D684" s="6"/>
      <c r="E684" s="6"/>
      <c r="F684" s="6"/>
      <c r="G684" s="6"/>
      <c r="H684" s="93"/>
      <c r="I684" s="93"/>
      <c r="J684" s="93"/>
      <c r="K684" s="93"/>
      <c r="L684" s="93"/>
      <c r="M684" s="6"/>
      <c r="N684" s="6"/>
      <c r="O684" s="6"/>
      <c r="P684" s="6"/>
      <c r="Q684" s="6"/>
      <c r="R684" s="6"/>
      <c r="S684" s="6"/>
      <c r="T684" s="6"/>
      <c r="U684" s="6"/>
      <c r="V684" s="6"/>
      <c r="W684" s="6"/>
      <c r="X684" s="6"/>
      <c r="Y684" s="6"/>
      <c r="Z684" s="6"/>
      <c r="AA684" s="6"/>
      <c r="AB684" s="6"/>
    </row>
    <row r="685" ht="16.5" customHeight="1">
      <c r="A685" s="6"/>
      <c r="B685" s="6"/>
      <c r="C685" s="6"/>
      <c r="D685" s="6"/>
      <c r="E685" s="6"/>
      <c r="F685" s="6"/>
      <c r="G685" s="6"/>
      <c r="H685" s="93"/>
      <c r="I685" s="93"/>
      <c r="J685" s="93"/>
      <c r="K685" s="93"/>
      <c r="L685" s="93"/>
      <c r="M685" s="6"/>
      <c r="N685" s="6"/>
      <c r="O685" s="6"/>
      <c r="P685" s="6"/>
      <c r="Q685" s="6"/>
      <c r="R685" s="6"/>
      <c r="S685" s="6"/>
      <c r="T685" s="6"/>
      <c r="U685" s="6"/>
      <c r="V685" s="6"/>
      <c r="W685" s="6"/>
      <c r="X685" s="6"/>
      <c r="Y685" s="6"/>
      <c r="Z685" s="6"/>
      <c r="AA685" s="6"/>
      <c r="AB685" s="6"/>
    </row>
    <row r="686" ht="16.5" customHeight="1">
      <c r="A686" s="6"/>
      <c r="B686" s="6"/>
      <c r="C686" s="6"/>
      <c r="D686" s="6"/>
      <c r="E686" s="6"/>
      <c r="F686" s="6"/>
      <c r="G686" s="6"/>
      <c r="H686" s="93"/>
      <c r="I686" s="93"/>
      <c r="J686" s="93"/>
      <c r="K686" s="93"/>
      <c r="L686" s="93"/>
      <c r="M686" s="6"/>
      <c r="N686" s="6"/>
      <c r="O686" s="6"/>
      <c r="P686" s="6"/>
      <c r="Q686" s="6"/>
      <c r="R686" s="6"/>
      <c r="S686" s="6"/>
      <c r="T686" s="6"/>
      <c r="U686" s="6"/>
      <c r="V686" s="6"/>
      <c r="W686" s="6"/>
      <c r="X686" s="6"/>
      <c r="Y686" s="6"/>
      <c r="Z686" s="6"/>
      <c r="AA686" s="6"/>
      <c r="AB686" s="6"/>
    </row>
    <row r="687" ht="16.5" customHeight="1">
      <c r="A687" s="6"/>
      <c r="B687" s="6"/>
      <c r="C687" s="6"/>
      <c r="D687" s="6"/>
      <c r="E687" s="6"/>
      <c r="F687" s="6"/>
      <c r="G687" s="6"/>
      <c r="H687" s="93"/>
      <c r="I687" s="93"/>
      <c r="J687" s="93"/>
      <c r="K687" s="93"/>
      <c r="L687" s="93"/>
      <c r="M687" s="6"/>
      <c r="N687" s="6"/>
      <c r="O687" s="6"/>
      <c r="P687" s="6"/>
      <c r="Q687" s="6"/>
      <c r="R687" s="6"/>
      <c r="S687" s="6"/>
      <c r="T687" s="6"/>
      <c r="U687" s="6"/>
      <c r="V687" s="6"/>
      <c r="W687" s="6"/>
      <c r="X687" s="6"/>
      <c r="Y687" s="6"/>
      <c r="Z687" s="6"/>
      <c r="AA687" s="6"/>
      <c r="AB687" s="6"/>
    </row>
    <row r="688" ht="16.5" customHeight="1">
      <c r="A688" s="6"/>
      <c r="B688" s="6"/>
      <c r="C688" s="6"/>
      <c r="D688" s="6"/>
      <c r="E688" s="6"/>
      <c r="F688" s="6"/>
      <c r="G688" s="6"/>
      <c r="H688" s="93"/>
      <c r="I688" s="93"/>
      <c r="J688" s="93"/>
      <c r="K688" s="93"/>
      <c r="L688" s="93"/>
      <c r="M688" s="6"/>
      <c r="N688" s="6"/>
      <c r="O688" s="6"/>
      <c r="P688" s="6"/>
      <c r="Q688" s="6"/>
      <c r="R688" s="6"/>
      <c r="S688" s="6"/>
      <c r="T688" s="6"/>
      <c r="U688" s="6"/>
      <c r="V688" s="6"/>
      <c r="W688" s="6"/>
      <c r="X688" s="6"/>
      <c r="Y688" s="6"/>
      <c r="Z688" s="6"/>
      <c r="AA688" s="6"/>
      <c r="AB688" s="6"/>
    </row>
    <row r="689" ht="16.5" customHeight="1">
      <c r="A689" s="6"/>
      <c r="B689" s="6"/>
      <c r="C689" s="6"/>
      <c r="D689" s="6"/>
      <c r="E689" s="6"/>
      <c r="F689" s="6"/>
      <c r="G689" s="6"/>
      <c r="H689" s="93"/>
      <c r="I689" s="93"/>
      <c r="J689" s="93"/>
      <c r="K689" s="93"/>
      <c r="L689" s="93"/>
      <c r="M689" s="6"/>
      <c r="N689" s="6"/>
      <c r="O689" s="6"/>
      <c r="P689" s="6"/>
      <c r="Q689" s="6"/>
      <c r="R689" s="6"/>
      <c r="S689" s="6"/>
      <c r="T689" s="6"/>
      <c r="U689" s="6"/>
      <c r="V689" s="6"/>
      <c r="W689" s="6"/>
      <c r="X689" s="6"/>
      <c r="Y689" s="6"/>
      <c r="Z689" s="6"/>
      <c r="AA689" s="6"/>
      <c r="AB689" s="6"/>
    </row>
    <row r="690" ht="16.5" customHeight="1">
      <c r="A690" s="6"/>
      <c r="B690" s="6"/>
      <c r="C690" s="6"/>
      <c r="D690" s="6"/>
      <c r="E690" s="6"/>
      <c r="F690" s="6"/>
      <c r="G690" s="6"/>
      <c r="H690" s="93"/>
      <c r="I690" s="93"/>
      <c r="J690" s="93"/>
      <c r="K690" s="93"/>
      <c r="L690" s="93"/>
      <c r="M690" s="6"/>
      <c r="N690" s="6"/>
      <c r="O690" s="6"/>
      <c r="P690" s="6"/>
      <c r="Q690" s="6"/>
      <c r="R690" s="6"/>
      <c r="S690" s="6"/>
      <c r="T690" s="6"/>
      <c r="U690" s="6"/>
      <c r="V690" s="6"/>
      <c r="W690" s="6"/>
      <c r="X690" s="6"/>
      <c r="Y690" s="6"/>
      <c r="Z690" s="6"/>
      <c r="AA690" s="6"/>
      <c r="AB690" s="6"/>
    </row>
    <row r="691" ht="16.5" customHeight="1">
      <c r="A691" s="6"/>
      <c r="B691" s="6"/>
      <c r="C691" s="6"/>
      <c r="D691" s="6"/>
      <c r="E691" s="6"/>
      <c r="F691" s="6"/>
      <c r="G691" s="6"/>
      <c r="H691" s="93"/>
      <c r="I691" s="93"/>
      <c r="J691" s="93"/>
      <c r="K691" s="93"/>
      <c r="L691" s="93"/>
      <c r="M691" s="6"/>
      <c r="N691" s="6"/>
      <c r="O691" s="6"/>
      <c r="P691" s="6"/>
      <c r="Q691" s="6"/>
      <c r="R691" s="6"/>
      <c r="S691" s="6"/>
      <c r="T691" s="6"/>
      <c r="U691" s="6"/>
      <c r="V691" s="6"/>
      <c r="W691" s="6"/>
      <c r="X691" s="6"/>
      <c r="Y691" s="6"/>
      <c r="Z691" s="6"/>
      <c r="AA691" s="6"/>
      <c r="AB691" s="6"/>
    </row>
    <row r="692" ht="16.5" customHeight="1">
      <c r="A692" s="6"/>
      <c r="B692" s="6"/>
      <c r="C692" s="6"/>
      <c r="D692" s="6"/>
      <c r="E692" s="6"/>
      <c r="F692" s="6"/>
      <c r="G692" s="6"/>
      <c r="H692" s="93"/>
      <c r="I692" s="93"/>
      <c r="J692" s="93"/>
      <c r="K692" s="93"/>
      <c r="L692" s="93"/>
      <c r="M692" s="6"/>
      <c r="N692" s="6"/>
      <c r="O692" s="6"/>
      <c r="P692" s="6"/>
      <c r="Q692" s="6"/>
      <c r="R692" s="6"/>
      <c r="S692" s="6"/>
      <c r="T692" s="6"/>
      <c r="U692" s="6"/>
      <c r="V692" s="6"/>
      <c r="W692" s="6"/>
      <c r="X692" s="6"/>
      <c r="Y692" s="6"/>
      <c r="Z692" s="6"/>
      <c r="AA692" s="6"/>
      <c r="AB692" s="6"/>
    </row>
    <row r="693" ht="16.5" customHeight="1">
      <c r="A693" s="6"/>
      <c r="B693" s="6"/>
      <c r="C693" s="6"/>
      <c r="D693" s="6"/>
      <c r="E693" s="6"/>
      <c r="F693" s="6"/>
      <c r="G693" s="6"/>
      <c r="H693" s="93"/>
      <c r="I693" s="93"/>
      <c r="J693" s="93"/>
      <c r="K693" s="93"/>
      <c r="L693" s="93"/>
      <c r="M693" s="6"/>
      <c r="N693" s="6"/>
      <c r="O693" s="6"/>
      <c r="P693" s="6"/>
      <c r="Q693" s="6"/>
      <c r="R693" s="6"/>
      <c r="S693" s="6"/>
      <c r="T693" s="6"/>
      <c r="U693" s="6"/>
      <c r="V693" s="6"/>
      <c r="W693" s="6"/>
      <c r="X693" s="6"/>
      <c r="Y693" s="6"/>
      <c r="Z693" s="6"/>
      <c r="AA693" s="6"/>
      <c r="AB693" s="6"/>
    </row>
    <row r="694" ht="16.5" customHeight="1">
      <c r="A694" s="6"/>
      <c r="B694" s="6"/>
      <c r="C694" s="6"/>
      <c r="D694" s="6"/>
      <c r="E694" s="6"/>
      <c r="F694" s="6"/>
      <c r="G694" s="6"/>
      <c r="H694" s="93"/>
      <c r="I694" s="93"/>
      <c r="J694" s="93"/>
      <c r="K694" s="93"/>
      <c r="L694" s="93"/>
      <c r="M694" s="6"/>
      <c r="N694" s="6"/>
      <c r="O694" s="6"/>
      <c r="P694" s="6"/>
      <c r="Q694" s="6"/>
      <c r="R694" s="6"/>
      <c r="S694" s="6"/>
      <c r="T694" s="6"/>
      <c r="U694" s="6"/>
      <c r="V694" s="6"/>
      <c r="W694" s="6"/>
      <c r="X694" s="6"/>
      <c r="Y694" s="6"/>
      <c r="Z694" s="6"/>
      <c r="AA694" s="6"/>
      <c r="AB694" s="6"/>
    </row>
    <row r="695" ht="16.5" customHeight="1">
      <c r="A695" s="6"/>
      <c r="B695" s="6"/>
      <c r="C695" s="6"/>
      <c r="D695" s="6"/>
      <c r="E695" s="6"/>
      <c r="F695" s="6"/>
      <c r="G695" s="6"/>
      <c r="H695" s="93"/>
      <c r="I695" s="93"/>
      <c r="J695" s="93"/>
      <c r="K695" s="93"/>
      <c r="L695" s="93"/>
      <c r="M695" s="6"/>
      <c r="N695" s="6"/>
      <c r="O695" s="6"/>
      <c r="P695" s="6"/>
      <c r="Q695" s="6"/>
      <c r="R695" s="6"/>
      <c r="S695" s="6"/>
      <c r="T695" s="6"/>
      <c r="U695" s="6"/>
      <c r="V695" s="6"/>
      <c r="W695" s="6"/>
      <c r="X695" s="6"/>
      <c r="Y695" s="6"/>
      <c r="Z695" s="6"/>
      <c r="AA695" s="6"/>
      <c r="AB695" s="6"/>
    </row>
    <row r="696" ht="16.5" customHeight="1">
      <c r="A696" s="6"/>
      <c r="B696" s="6"/>
      <c r="C696" s="6"/>
      <c r="D696" s="6"/>
      <c r="E696" s="6"/>
      <c r="F696" s="6"/>
      <c r="G696" s="6"/>
      <c r="H696" s="93"/>
      <c r="I696" s="93"/>
      <c r="J696" s="93"/>
      <c r="K696" s="93"/>
      <c r="L696" s="93"/>
      <c r="M696" s="6"/>
      <c r="N696" s="6"/>
      <c r="O696" s="6"/>
      <c r="P696" s="6"/>
      <c r="Q696" s="6"/>
      <c r="R696" s="6"/>
      <c r="S696" s="6"/>
      <c r="T696" s="6"/>
      <c r="U696" s="6"/>
      <c r="V696" s="6"/>
      <c r="W696" s="6"/>
      <c r="X696" s="6"/>
      <c r="Y696" s="6"/>
      <c r="Z696" s="6"/>
      <c r="AA696" s="6"/>
      <c r="AB696" s="6"/>
    </row>
    <row r="697" ht="16.5" customHeight="1">
      <c r="A697" s="6"/>
      <c r="B697" s="6"/>
      <c r="C697" s="6"/>
      <c r="D697" s="6"/>
      <c r="E697" s="6"/>
      <c r="F697" s="6"/>
      <c r="G697" s="6"/>
      <c r="H697" s="93"/>
      <c r="I697" s="93"/>
      <c r="J697" s="93"/>
      <c r="K697" s="93"/>
      <c r="L697" s="93"/>
      <c r="M697" s="6"/>
      <c r="N697" s="6"/>
      <c r="O697" s="6"/>
      <c r="P697" s="6"/>
      <c r="Q697" s="6"/>
      <c r="R697" s="6"/>
      <c r="S697" s="6"/>
      <c r="T697" s="6"/>
      <c r="U697" s="6"/>
      <c r="V697" s="6"/>
      <c r="W697" s="6"/>
      <c r="X697" s="6"/>
      <c r="Y697" s="6"/>
      <c r="Z697" s="6"/>
      <c r="AA697" s="6"/>
      <c r="AB697" s="6"/>
    </row>
    <row r="698" ht="16.5" customHeight="1">
      <c r="A698" s="6"/>
      <c r="B698" s="6"/>
      <c r="C698" s="6"/>
      <c r="D698" s="6"/>
      <c r="E698" s="6"/>
      <c r="F698" s="6"/>
      <c r="G698" s="6"/>
      <c r="H698" s="93"/>
      <c r="I698" s="93"/>
      <c r="J698" s="93"/>
      <c r="K698" s="93"/>
      <c r="L698" s="93"/>
      <c r="M698" s="6"/>
      <c r="N698" s="6"/>
      <c r="O698" s="6"/>
      <c r="P698" s="6"/>
      <c r="Q698" s="6"/>
      <c r="R698" s="6"/>
      <c r="S698" s="6"/>
      <c r="T698" s="6"/>
      <c r="U698" s="6"/>
      <c r="V698" s="6"/>
      <c r="W698" s="6"/>
      <c r="X698" s="6"/>
      <c r="Y698" s="6"/>
      <c r="Z698" s="6"/>
      <c r="AA698" s="6"/>
      <c r="AB698" s="6"/>
    </row>
    <row r="699" ht="16.5" customHeight="1">
      <c r="A699" s="6"/>
      <c r="B699" s="6"/>
      <c r="C699" s="6"/>
      <c r="D699" s="6"/>
      <c r="E699" s="6"/>
      <c r="F699" s="6"/>
      <c r="G699" s="6"/>
      <c r="H699" s="93"/>
      <c r="I699" s="93"/>
      <c r="J699" s="93"/>
      <c r="K699" s="93"/>
      <c r="L699" s="93"/>
      <c r="M699" s="6"/>
      <c r="N699" s="6"/>
      <c r="O699" s="6"/>
      <c r="P699" s="6"/>
      <c r="Q699" s="6"/>
      <c r="R699" s="6"/>
      <c r="S699" s="6"/>
      <c r="T699" s="6"/>
      <c r="U699" s="6"/>
      <c r="V699" s="6"/>
      <c r="W699" s="6"/>
      <c r="X699" s="6"/>
      <c r="Y699" s="6"/>
      <c r="Z699" s="6"/>
      <c r="AA699" s="6"/>
      <c r="AB699" s="6"/>
    </row>
    <row r="700" ht="16.5" customHeight="1">
      <c r="A700" s="6"/>
      <c r="B700" s="6"/>
      <c r="C700" s="6"/>
      <c r="D700" s="6"/>
      <c r="E700" s="6"/>
      <c r="F700" s="6"/>
      <c r="G700" s="6"/>
      <c r="H700" s="93"/>
      <c r="I700" s="93"/>
      <c r="J700" s="93"/>
      <c r="K700" s="93"/>
      <c r="L700" s="93"/>
      <c r="M700" s="6"/>
      <c r="N700" s="6"/>
      <c r="O700" s="6"/>
      <c r="P700" s="6"/>
      <c r="Q700" s="6"/>
      <c r="R700" s="6"/>
      <c r="S700" s="6"/>
      <c r="T700" s="6"/>
      <c r="U700" s="6"/>
      <c r="V700" s="6"/>
      <c r="W700" s="6"/>
      <c r="X700" s="6"/>
      <c r="Y700" s="6"/>
      <c r="Z700" s="6"/>
      <c r="AA700" s="6"/>
      <c r="AB700" s="6"/>
    </row>
    <row r="701" ht="16.5" customHeight="1">
      <c r="A701" s="6"/>
      <c r="B701" s="6"/>
      <c r="C701" s="6"/>
      <c r="D701" s="6"/>
      <c r="E701" s="6"/>
      <c r="F701" s="6"/>
      <c r="G701" s="6"/>
      <c r="H701" s="93"/>
      <c r="I701" s="93"/>
      <c r="J701" s="93"/>
      <c r="K701" s="93"/>
      <c r="L701" s="93"/>
      <c r="M701" s="6"/>
      <c r="N701" s="6"/>
      <c r="O701" s="6"/>
      <c r="P701" s="6"/>
      <c r="Q701" s="6"/>
      <c r="R701" s="6"/>
      <c r="S701" s="6"/>
      <c r="T701" s="6"/>
      <c r="U701" s="6"/>
      <c r="V701" s="6"/>
      <c r="W701" s="6"/>
      <c r="X701" s="6"/>
      <c r="Y701" s="6"/>
      <c r="Z701" s="6"/>
      <c r="AA701" s="6"/>
      <c r="AB701" s="6"/>
    </row>
    <row r="702" ht="16.5" customHeight="1">
      <c r="A702" s="6"/>
      <c r="B702" s="6"/>
      <c r="C702" s="6"/>
      <c r="D702" s="6"/>
      <c r="E702" s="6"/>
      <c r="F702" s="6"/>
      <c r="G702" s="6"/>
      <c r="H702" s="93"/>
      <c r="I702" s="93"/>
      <c r="J702" s="93"/>
      <c r="K702" s="93"/>
      <c r="L702" s="93"/>
      <c r="M702" s="6"/>
      <c r="N702" s="6"/>
      <c r="O702" s="6"/>
      <c r="P702" s="6"/>
      <c r="Q702" s="6"/>
      <c r="R702" s="6"/>
      <c r="S702" s="6"/>
      <c r="T702" s="6"/>
      <c r="U702" s="6"/>
      <c r="V702" s="6"/>
      <c r="W702" s="6"/>
      <c r="X702" s="6"/>
      <c r="Y702" s="6"/>
      <c r="Z702" s="6"/>
      <c r="AA702" s="6"/>
      <c r="AB702" s="6"/>
    </row>
    <row r="703" ht="16.5" customHeight="1">
      <c r="A703" s="6"/>
      <c r="B703" s="6"/>
      <c r="C703" s="6"/>
      <c r="D703" s="6"/>
      <c r="E703" s="6"/>
      <c r="F703" s="6"/>
      <c r="G703" s="6"/>
      <c r="H703" s="93"/>
      <c r="I703" s="93"/>
      <c r="J703" s="93"/>
      <c r="K703" s="93"/>
      <c r="L703" s="93"/>
      <c r="M703" s="6"/>
      <c r="N703" s="6"/>
      <c r="O703" s="6"/>
      <c r="P703" s="6"/>
      <c r="Q703" s="6"/>
      <c r="R703" s="6"/>
      <c r="S703" s="6"/>
      <c r="T703" s="6"/>
      <c r="U703" s="6"/>
      <c r="V703" s="6"/>
      <c r="W703" s="6"/>
      <c r="X703" s="6"/>
      <c r="Y703" s="6"/>
      <c r="Z703" s="6"/>
      <c r="AA703" s="6"/>
      <c r="AB703" s="6"/>
    </row>
    <row r="704" ht="16.5" customHeight="1">
      <c r="A704" s="6"/>
      <c r="B704" s="6"/>
      <c r="C704" s="6"/>
      <c r="D704" s="6"/>
      <c r="E704" s="6"/>
      <c r="F704" s="6"/>
      <c r="G704" s="6"/>
      <c r="H704" s="93"/>
      <c r="I704" s="93"/>
      <c r="J704" s="93"/>
      <c r="K704" s="93"/>
      <c r="L704" s="93"/>
      <c r="M704" s="6"/>
      <c r="N704" s="6"/>
      <c r="O704" s="6"/>
      <c r="P704" s="6"/>
      <c r="Q704" s="6"/>
      <c r="R704" s="6"/>
      <c r="S704" s="6"/>
      <c r="T704" s="6"/>
      <c r="U704" s="6"/>
      <c r="V704" s="6"/>
      <c r="W704" s="6"/>
      <c r="X704" s="6"/>
      <c r="Y704" s="6"/>
      <c r="Z704" s="6"/>
      <c r="AA704" s="6"/>
      <c r="AB704" s="6"/>
    </row>
    <row r="705" ht="16.5" customHeight="1">
      <c r="A705" s="6"/>
      <c r="B705" s="6"/>
      <c r="C705" s="6"/>
      <c r="D705" s="6"/>
      <c r="E705" s="6"/>
      <c r="F705" s="6"/>
      <c r="G705" s="6"/>
      <c r="H705" s="93"/>
      <c r="I705" s="93"/>
      <c r="J705" s="93"/>
      <c r="K705" s="93"/>
      <c r="L705" s="93"/>
      <c r="M705" s="6"/>
      <c r="N705" s="6"/>
      <c r="O705" s="6"/>
      <c r="P705" s="6"/>
      <c r="Q705" s="6"/>
      <c r="R705" s="6"/>
      <c r="S705" s="6"/>
      <c r="T705" s="6"/>
      <c r="U705" s="6"/>
      <c r="V705" s="6"/>
      <c r="W705" s="6"/>
      <c r="X705" s="6"/>
      <c r="Y705" s="6"/>
      <c r="Z705" s="6"/>
      <c r="AA705" s="6"/>
      <c r="AB705" s="6"/>
    </row>
    <row r="706" ht="16.5" customHeight="1">
      <c r="A706" s="6"/>
      <c r="B706" s="6"/>
      <c r="C706" s="6"/>
      <c r="D706" s="6"/>
      <c r="E706" s="6"/>
      <c r="F706" s="6"/>
      <c r="G706" s="6"/>
      <c r="H706" s="93"/>
      <c r="I706" s="93"/>
      <c r="J706" s="93"/>
      <c r="K706" s="93"/>
      <c r="L706" s="93"/>
      <c r="M706" s="6"/>
      <c r="N706" s="6"/>
      <c r="O706" s="6"/>
      <c r="P706" s="6"/>
      <c r="Q706" s="6"/>
      <c r="R706" s="6"/>
      <c r="S706" s="6"/>
      <c r="T706" s="6"/>
      <c r="U706" s="6"/>
      <c r="V706" s="6"/>
      <c r="W706" s="6"/>
      <c r="X706" s="6"/>
      <c r="Y706" s="6"/>
      <c r="Z706" s="6"/>
      <c r="AA706" s="6"/>
      <c r="AB706" s="6"/>
    </row>
    <row r="707" ht="16.5" customHeight="1">
      <c r="A707" s="6"/>
      <c r="B707" s="6"/>
      <c r="C707" s="6"/>
      <c r="D707" s="6"/>
      <c r="E707" s="6"/>
      <c r="F707" s="6"/>
      <c r="G707" s="6"/>
      <c r="H707" s="93"/>
      <c r="I707" s="93"/>
      <c r="J707" s="93"/>
      <c r="K707" s="93"/>
      <c r="L707" s="93"/>
      <c r="M707" s="6"/>
      <c r="N707" s="6"/>
      <c r="O707" s="6"/>
      <c r="P707" s="6"/>
      <c r="Q707" s="6"/>
      <c r="R707" s="6"/>
      <c r="S707" s="6"/>
      <c r="T707" s="6"/>
      <c r="U707" s="6"/>
      <c r="V707" s="6"/>
      <c r="W707" s="6"/>
      <c r="X707" s="6"/>
      <c r="Y707" s="6"/>
      <c r="Z707" s="6"/>
      <c r="AA707" s="6"/>
      <c r="AB707" s="6"/>
    </row>
    <row r="708" ht="16.5" customHeight="1">
      <c r="A708" s="6"/>
      <c r="B708" s="6"/>
      <c r="C708" s="6"/>
      <c r="D708" s="6"/>
      <c r="E708" s="6"/>
      <c r="F708" s="6"/>
      <c r="G708" s="6"/>
      <c r="H708" s="93"/>
      <c r="I708" s="93"/>
      <c r="J708" s="93"/>
      <c r="K708" s="93"/>
      <c r="L708" s="93"/>
      <c r="M708" s="6"/>
      <c r="N708" s="6"/>
      <c r="O708" s="6"/>
      <c r="P708" s="6"/>
      <c r="Q708" s="6"/>
      <c r="R708" s="6"/>
      <c r="S708" s="6"/>
      <c r="T708" s="6"/>
      <c r="U708" s="6"/>
      <c r="V708" s="6"/>
      <c r="W708" s="6"/>
      <c r="X708" s="6"/>
      <c r="Y708" s="6"/>
      <c r="Z708" s="6"/>
      <c r="AA708" s="6"/>
      <c r="AB708" s="6"/>
    </row>
    <row r="709" ht="16.5" customHeight="1">
      <c r="A709" s="6"/>
      <c r="B709" s="6"/>
      <c r="C709" s="6"/>
      <c r="D709" s="6"/>
      <c r="E709" s="6"/>
      <c r="F709" s="6"/>
      <c r="G709" s="6"/>
      <c r="H709" s="93"/>
      <c r="I709" s="93"/>
      <c r="J709" s="93"/>
      <c r="K709" s="93"/>
      <c r="L709" s="93"/>
      <c r="M709" s="6"/>
      <c r="N709" s="6"/>
      <c r="O709" s="6"/>
      <c r="P709" s="6"/>
      <c r="Q709" s="6"/>
      <c r="R709" s="6"/>
      <c r="S709" s="6"/>
      <c r="T709" s="6"/>
      <c r="U709" s="6"/>
      <c r="V709" s="6"/>
      <c r="W709" s="6"/>
      <c r="X709" s="6"/>
      <c r="Y709" s="6"/>
      <c r="Z709" s="6"/>
      <c r="AA709" s="6"/>
      <c r="AB709" s="6"/>
    </row>
    <row r="710" ht="16.5" customHeight="1">
      <c r="A710" s="6"/>
      <c r="B710" s="6"/>
      <c r="C710" s="6"/>
      <c r="D710" s="6"/>
      <c r="E710" s="6"/>
      <c r="F710" s="6"/>
      <c r="G710" s="6"/>
      <c r="H710" s="93"/>
      <c r="I710" s="93"/>
      <c r="J710" s="93"/>
      <c r="K710" s="93"/>
      <c r="L710" s="93"/>
      <c r="M710" s="6"/>
      <c r="N710" s="6"/>
      <c r="O710" s="6"/>
      <c r="P710" s="6"/>
      <c r="Q710" s="6"/>
      <c r="R710" s="6"/>
      <c r="S710" s="6"/>
      <c r="T710" s="6"/>
      <c r="U710" s="6"/>
      <c r="V710" s="6"/>
      <c r="W710" s="6"/>
      <c r="X710" s="6"/>
      <c r="Y710" s="6"/>
      <c r="Z710" s="6"/>
      <c r="AA710" s="6"/>
      <c r="AB710" s="6"/>
    </row>
    <row r="711" ht="16.5" customHeight="1">
      <c r="A711" s="6"/>
      <c r="B711" s="6"/>
      <c r="C711" s="6"/>
      <c r="D711" s="6"/>
      <c r="E711" s="6"/>
      <c r="F711" s="6"/>
      <c r="G711" s="6"/>
      <c r="H711" s="93"/>
      <c r="I711" s="93"/>
      <c r="J711" s="93"/>
      <c r="K711" s="93"/>
      <c r="L711" s="93"/>
      <c r="M711" s="6"/>
      <c r="N711" s="6"/>
      <c r="O711" s="6"/>
      <c r="P711" s="6"/>
      <c r="Q711" s="6"/>
      <c r="R711" s="6"/>
      <c r="S711" s="6"/>
      <c r="T711" s="6"/>
      <c r="U711" s="6"/>
      <c r="V711" s="6"/>
      <c r="W711" s="6"/>
      <c r="X711" s="6"/>
      <c r="Y711" s="6"/>
      <c r="Z711" s="6"/>
      <c r="AA711" s="6"/>
      <c r="AB711" s="6"/>
    </row>
    <row r="712" ht="16.5" customHeight="1">
      <c r="A712" s="6"/>
      <c r="B712" s="6"/>
      <c r="C712" s="6"/>
      <c r="D712" s="6"/>
      <c r="E712" s="6"/>
      <c r="F712" s="6"/>
      <c r="G712" s="6"/>
      <c r="H712" s="93"/>
      <c r="I712" s="93"/>
      <c r="J712" s="93"/>
      <c r="K712" s="93"/>
      <c r="L712" s="93"/>
      <c r="M712" s="6"/>
      <c r="N712" s="6"/>
      <c r="O712" s="6"/>
      <c r="P712" s="6"/>
      <c r="Q712" s="6"/>
      <c r="R712" s="6"/>
      <c r="S712" s="6"/>
      <c r="T712" s="6"/>
      <c r="U712" s="6"/>
      <c r="V712" s="6"/>
      <c r="W712" s="6"/>
      <c r="X712" s="6"/>
      <c r="Y712" s="6"/>
      <c r="Z712" s="6"/>
      <c r="AA712" s="6"/>
      <c r="AB712" s="6"/>
    </row>
    <row r="713" ht="16.5" customHeight="1">
      <c r="A713" s="6"/>
      <c r="B713" s="6"/>
      <c r="C713" s="6"/>
      <c r="D713" s="6"/>
      <c r="E713" s="6"/>
      <c r="F713" s="6"/>
      <c r="G713" s="6"/>
      <c r="H713" s="93"/>
      <c r="I713" s="93"/>
      <c r="J713" s="93"/>
      <c r="K713" s="93"/>
      <c r="L713" s="93"/>
      <c r="M713" s="6"/>
      <c r="N713" s="6"/>
      <c r="O713" s="6"/>
      <c r="P713" s="6"/>
      <c r="Q713" s="6"/>
      <c r="R713" s="6"/>
      <c r="S713" s="6"/>
      <c r="T713" s="6"/>
      <c r="U713" s="6"/>
      <c r="V713" s="6"/>
      <c r="W713" s="6"/>
      <c r="X713" s="6"/>
      <c r="Y713" s="6"/>
      <c r="Z713" s="6"/>
      <c r="AA713" s="6"/>
      <c r="AB713" s="6"/>
    </row>
    <row r="714" ht="16.5" customHeight="1">
      <c r="A714" s="6"/>
      <c r="B714" s="6"/>
      <c r="C714" s="6"/>
      <c r="D714" s="6"/>
      <c r="E714" s="6"/>
      <c r="F714" s="6"/>
      <c r="G714" s="6"/>
      <c r="H714" s="93"/>
      <c r="I714" s="93"/>
      <c r="J714" s="93"/>
      <c r="K714" s="93"/>
      <c r="L714" s="93"/>
      <c r="M714" s="6"/>
      <c r="N714" s="6"/>
      <c r="O714" s="6"/>
      <c r="P714" s="6"/>
      <c r="Q714" s="6"/>
      <c r="R714" s="6"/>
      <c r="S714" s="6"/>
      <c r="T714" s="6"/>
      <c r="U714" s="6"/>
      <c r="V714" s="6"/>
      <c r="W714" s="6"/>
      <c r="X714" s="6"/>
      <c r="Y714" s="6"/>
      <c r="Z714" s="6"/>
      <c r="AA714" s="6"/>
      <c r="AB714" s="6"/>
    </row>
    <row r="715" ht="16.5" customHeight="1">
      <c r="A715" s="6"/>
      <c r="B715" s="6"/>
      <c r="C715" s="6"/>
      <c r="D715" s="6"/>
      <c r="E715" s="6"/>
      <c r="F715" s="6"/>
      <c r="G715" s="6"/>
      <c r="H715" s="93"/>
      <c r="I715" s="93"/>
      <c r="J715" s="93"/>
      <c r="K715" s="93"/>
      <c r="L715" s="93"/>
      <c r="M715" s="6"/>
      <c r="N715" s="6"/>
      <c r="O715" s="6"/>
      <c r="P715" s="6"/>
      <c r="Q715" s="6"/>
      <c r="R715" s="6"/>
      <c r="S715" s="6"/>
      <c r="T715" s="6"/>
      <c r="U715" s="6"/>
      <c r="V715" s="6"/>
      <c r="W715" s="6"/>
      <c r="X715" s="6"/>
      <c r="Y715" s="6"/>
      <c r="Z715" s="6"/>
      <c r="AA715" s="6"/>
      <c r="AB715" s="6"/>
    </row>
    <row r="716" ht="16.5" customHeight="1">
      <c r="A716" s="6"/>
      <c r="B716" s="6"/>
      <c r="C716" s="6"/>
      <c r="D716" s="6"/>
      <c r="E716" s="6"/>
      <c r="F716" s="6"/>
      <c r="G716" s="6"/>
      <c r="H716" s="93"/>
      <c r="I716" s="93"/>
      <c r="J716" s="93"/>
      <c r="K716" s="93"/>
      <c r="L716" s="93"/>
      <c r="M716" s="6"/>
      <c r="N716" s="6"/>
      <c r="O716" s="6"/>
      <c r="P716" s="6"/>
      <c r="Q716" s="6"/>
      <c r="R716" s="6"/>
      <c r="S716" s="6"/>
      <c r="T716" s="6"/>
      <c r="U716" s="6"/>
      <c r="V716" s="6"/>
      <c r="W716" s="6"/>
      <c r="X716" s="6"/>
      <c r="Y716" s="6"/>
      <c r="Z716" s="6"/>
      <c r="AA716" s="6"/>
      <c r="AB716" s="6"/>
    </row>
    <row r="717" ht="16.5" customHeight="1">
      <c r="A717" s="6"/>
      <c r="B717" s="6"/>
      <c r="C717" s="6"/>
      <c r="D717" s="6"/>
      <c r="E717" s="6"/>
      <c r="F717" s="6"/>
      <c r="G717" s="6"/>
      <c r="H717" s="93"/>
      <c r="I717" s="93"/>
      <c r="J717" s="93"/>
      <c r="K717" s="93"/>
      <c r="L717" s="93"/>
      <c r="M717" s="6"/>
      <c r="N717" s="6"/>
      <c r="O717" s="6"/>
      <c r="P717" s="6"/>
      <c r="Q717" s="6"/>
      <c r="R717" s="6"/>
      <c r="S717" s="6"/>
      <c r="T717" s="6"/>
      <c r="U717" s="6"/>
      <c r="V717" s="6"/>
      <c r="W717" s="6"/>
      <c r="X717" s="6"/>
      <c r="Y717" s="6"/>
      <c r="Z717" s="6"/>
      <c r="AA717" s="6"/>
      <c r="AB717" s="6"/>
    </row>
    <row r="718" ht="16.5" customHeight="1">
      <c r="A718" s="6"/>
      <c r="B718" s="6"/>
      <c r="C718" s="6"/>
      <c r="D718" s="6"/>
      <c r="E718" s="6"/>
      <c r="F718" s="6"/>
      <c r="G718" s="6"/>
      <c r="H718" s="93"/>
      <c r="I718" s="93"/>
      <c r="J718" s="93"/>
      <c r="K718" s="93"/>
      <c r="L718" s="93"/>
      <c r="M718" s="6"/>
      <c r="N718" s="6"/>
      <c r="O718" s="6"/>
      <c r="P718" s="6"/>
      <c r="Q718" s="6"/>
      <c r="R718" s="6"/>
      <c r="S718" s="6"/>
      <c r="T718" s="6"/>
      <c r="U718" s="6"/>
      <c r="V718" s="6"/>
      <c r="W718" s="6"/>
      <c r="X718" s="6"/>
      <c r="Y718" s="6"/>
      <c r="Z718" s="6"/>
      <c r="AA718" s="6"/>
      <c r="AB718" s="6"/>
    </row>
    <row r="719" ht="16.5" customHeight="1">
      <c r="A719" s="6"/>
      <c r="B719" s="6"/>
      <c r="C719" s="6"/>
      <c r="D719" s="6"/>
      <c r="E719" s="6"/>
      <c r="F719" s="6"/>
      <c r="G719" s="6"/>
      <c r="H719" s="93"/>
      <c r="I719" s="93"/>
      <c r="J719" s="93"/>
      <c r="K719" s="93"/>
      <c r="L719" s="93"/>
      <c r="M719" s="6"/>
      <c r="N719" s="6"/>
      <c r="O719" s="6"/>
      <c r="P719" s="6"/>
      <c r="Q719" s="6"/>
      <c r="R719" s="6"/>
      <c r="S719" s="6"/>
      <c r="T719" s="6"/>
      <c r="U719" s="6"/>
      <c r="V719" s="6"/>
      <c r="W719" s="6"/>
      <c r="X719" s="6"/>
      <c r="Y719" s="6"/>
      <c r="Z719" s="6"/>
      <c r="AA719" s="6"/>
      <c r="AB719" s="6"/>
    </row>
    <row r="720" ht="16.5" customHeight="1">
      <c r="A720" s="6"/>
      <c r="B720" s="6"/>
      <c r="C720" s="6"/>
      <c r="D720" s="6"/>
      <c r="E720" s="6"/>
      <c r="F720" s="6"/>
      <c r="G720" s="6"/>
      <c r="H720" s="93"/>
      <c r="I720" s="93"/>
      <c r="J720" s="93"/>
      <c r="K720" s="93"/>
      <c r="L720" s="93"/>
      <c r="M720" s="6"/>
      <c r="N720" s="6"/>
      <c r="O720" s="6"/>
      <c r="P720" s="6"/>
      <c r="Q720" s="6"/>
      <c r="R720" s="6"/>
      <c r="S720" s="6"/>
      <c r="T720" s="6"/>
      <c r="U720" s="6"/>
      <c r="V720" s="6"/>
      <c r="W720" s="6"/>
      <c r="X720" s="6"/>
      <c r="Y720" s="6"/>
      <c r="Z720" s="6"/>
      <c r="AA720" s="6"/>
      <c r="AB720" s="6"/>
    </row>
    <row r="721" ht="16.5" customHeight="1">
      <c r="A721" s="6"/>
      <c r="B721" s="6"/>
      <c r="C721" s="6"/>
      <c r="D721" s="6"/>
      <c r="E721" s="6"/>
      <c r="F721" s="6"/>
      <c r="G721" s="6"/>
      <c r="H721" s="93"/>
      <c r="I721" s="93"/>
      <c r="J721" s="93"/>
      <c r="K721" s="93"/>
      <c r="L721" s="93"/>
      <c r="M721" s="6"/>
      <c r="N721" s="6"/>
      <c r="O721" s="6"/>
      <c r="P721" s="6"/>
      <c r="Q721" s="6"/>
      <c r="R721" s="6"/>
      <c r="S721" s="6"/>
      <c r="T721" s="6"/>
      <c r="U721" s="6"/>
      <c r="V721" s="6"/>
      <c r="W721" s="6"/>
      <c r="X721" s="6"/>
      <c r="Y721" s="6"/>
      <c r="Z721" s="6"/>
      <c r="AA721" s="6"/>
      <c r="AB721" s="6"/>
    </row>
    <row r="722" ht="16.5" customHeight="1">
      <c r="A722" s="6"/>
      <c r="B722" s="6"/>
      <c r="C722" s="6"/>
      <c r="D722" s="6"/>
      <c r="E722" s="6"/>
      <c r="F722" s="6"/>
      <c r="G722" s="6"/>
      <c r="H722" s="93"/>
      <c r="I722" s="93"/>
      <c r="J722" s="93"/>
      <c r="K722" s="93"/>
      <c r="L722" s="93"/>
      <c r="M722" s="6"/>
      <c r="N722" s="6"/>
      <c r="O722" s="6"/>
      <c r="P722" s="6"/>
      <c r="Q722" s="6"/>
      <c r="R722" s="6"/>
      <c r="S722" s="6"/>
      <c r="T722" s="6"/>
      <c r="U722" s="6"/>
      <c r="V722" s="6"/>
      <c r="W722" s="6"/>
      <c r="X722" s="6"/>
      <c r="Y722" s="6"/>
      <c r="Z722" s="6"/>
      <c r="AA722" s="6"/>
      <c r="AB722" s="6"/>
    </row>
    <row r="723" ht="16.5" customHeight="1">
      <c r="A723" s="6"/>
      <c r="B723" s="6"/>
      <c r="C723" s="6"/>
      <c r="D723" s="6"/>
      <c r="E723" s="6"/>
      <c r="F723" s="6"/>
      <c r="G723" s="6"/>
      <c r="H723" s="93"/>
      <c r="I723" s="93"/>
      <c r="J723" s="93"/>
      <c r="K723" s="93"/>
      <c r="L723" s="93"/>
      <c r="M723" s="6"/>
      <c r="N723" s="6"/>
      <c r="O723" s="6"/>
      <c r="P723" s="6"/>
      <c r="Q723" s="6"/>
      <c r="R723" s="6"/>
      <c r="S723" s="6"/>
      <c r="T723" s="6"/>
      <c r="U723" s="6"/>
      <c r="V723" s="6"/>
      <c r="W723" s="6"/>
      <c r="X723" s="6"/>
      <c r="Y723" s="6"/>
      <c r="Z723" s="6"/>
      <c r="AA723" s="6"/>
      <c r="AB723" s="6"/>
    </row>
    <row r="724" ht="16.5" customHeight="1">
      <c r="A724" s="6"/>
      <c r="B724" s="6"/>
      <c r="C724" s="6"/>
      <c r="D724" s="6"/>
      <c r="E724" s="6"/>
      <c r="F724" s="6"/>
      <c r="G724" s="6"/>
      <c r="H724" s="93"/>
      <c r="I724" s="93"/>
      <c r="J724" s="93"/>
      <c r="K724" s="93"/>
      <c r="L724" s="93"/>
      <c r="M724" s="6"/>
      <c r="N724" s="6"/>
      <c r="O724" s="6"/>
      <c r="P724" s="6"/>
      <c r="Q724" s="6"/>
      <c r="R724" s="6"/>
      <c r="S724" s="6"/>
      <c r="T724" s="6"/>
      <c r="U724" s="6"/>
      <c r="V724" s="6"/>
      <c r="W724" s="6"/>
      <c r="X724" s="6"/>
      <c r="Y724" s="6"/>
      <c r="Z724" s="6"/>
      <c r="AA724" s="6"/>
      <c r="AB724" s="6"/>
    </row>
    <row r="725" ht="16.5" customHeight="1">
      <c r="A725" s="6"/>
      <c r="B725" s="6"/>
      <c r="C725" s="6"/>
      <c r="D725" s="6"/>
      <c r="E725" s="6"/>
      <c r="F725" s="6"/>
      <c r="G725" s="6"/>
      <c r="H725" s="93"/>
      <c r="I725" s="93"/>
      <c r="J725" s="93"/>
      <c r="K725" s="93"/>
      <c r="L725" s="93"/>
      <c r="M725" s="6"/>
      <c r="N725" s="6"/>
      <c r="O725" s="6"/>
      <c r="P725" s="6"/>
      <c r="Q725" s="6"/>
      <c r="R725" s="6"/>
      <c r="S725" s="6"/>
      <c r="T725" s="6"/>
      <c r="U725" s="6"/>
      <c r="V725" s="6"/>
      <c r="W725" s="6"/>
      <c r="X725" s="6"/>
      <c r="Y725" s="6"/>
      <c r="Z725" s="6"/>
      <c r="AA725" s="6"/>
      <c r="AB725" s="6"/>
    </row>
    <row r="726" ht="16.5" customHeight="1">
      <c r="A726" s="6"/>
      <c r="B726" s="6"/>
      <c r="C726" s="6"/>
      <c r="D726" s="6"/>
      <c r="E726" s="6"/>
      <c r="F726" s="6"/>
      <c r="G726" s="6"/>
      <c r="H726" s="93"/>
      <c r="I726" s="93"/>
      <c r="J726" s="93"/>
      <c r="K726" s="93"/>
      <c r="L726" s="93"/>
      <c r="M726" s="6"/>
      <c r="N726" s="6"/>
      <c r="O726" s="6"/>
      <c r="P726" s="6"/>
      <c r="Q726" s="6"/>
      <c r="R726" s="6"/>
      <c r="S726" s="6"/>
      <c r="T726" s="6"/>
      <c r="U726" s="6"/>
      <c r="V726" s="6"/>
      <c r="W726" s="6"/>
      <c r="X726" s="6"/>
      <c r="Y726" s="6"/>
      <c r="Z726" s="6"/>
      <c r="AA726" s="6"/>
      <c r="AB726" s="6"/>
    </row>
    <row r="727" ht="16.5" customHeight="1">
      <c r="A727" s="6"/>
      <c r="B727" s="6"/>
      <c r="C727" s="6"/>
      <c r="D727" s="6"/>
      <c r="E727" s="6"/>
      <c r="F727" s="6"/>
      <c r="G727" s="6"/>
      <c r="H727" s="93"/>
      <c r="I727" s="93"/>
      <c r="J727" s="93"/>
      <c r="K727" s="93"/>
      <c r="L727" s="93"/>
      <c r="M727" s="6"/>
      <c r="N727" s="6"/>
      <c r="O727" s="6"/>
      <c r="P727" s="6"/>
      <c r="Q727" s="6"/>
      <c r="R727" s="6"/>
      <c r="S727" s="6"/>
      <c r="T727" s="6"/>
      <c r="U727" s="6"/>
      <c r="V727" s="6"/>
      <c r="W727" s="6"/>
      <c r="X727" s="6"/>
      <c r="Y727" s="6"/>
      <c r="Z727" s="6"/>
      <c r="AA727" s="6"/>
      <c r="AB727" s="6"/>
    </row>
    <row r="728" ht="16.5" customHeight="1">
      <c r="A728" s="6"/>
      <c r="B728" s="6"/>
      <c r="C728" s="6"/>
      <c r="D728" s="6"/>
      <c r="E728" s="6"/>
      <c r="F728" s="6"/>
      <c r="G728" s="6"/>
      <c r="H728" s="93"/>
      <c r="I728" s="93"/>
      <c r="J728" s="93"/>
      <c r="K728" s="93"/>
      <c r="L728" s="93"/>
      <c r="M728" s="6"/>
      <c r="N728" s="6"/>
      <c r="O728" s="6"/>
      <c r="P728" s="6"/>
      <c r="Q728" s="6"/>
      <c r="R728" s="6"/>
      <c r="S728" s="6"/>
      <c r="T728" s="6"/>
      <c r="U728" s="6"/>
      <c r="V728" s="6"/>
      <c r="W728" s="6"/>
      <c r="X728" s="6"/>
      <c r="Y728" s="6"/>
      <c r="Z728" s="6"/>
      <c r="AA728" s="6"/>
      <c r="AB728" s="6"/>
    </row>
    <row r="729" ht="16.5" customHeight="1">
      <c r="A729" s="6"/>
      <c r="B729" s="6"/>
      <c r="C729" s="6"/>
      <c r="D729" s="6"/>
      <c r="E729" s="6"/>
      <c r="F729" s="6"/>
      <c r="G729" s="6"/>
      <c r="H729" s="93"/>
      <c r="I729" s="93"/>
      <c r="J729" s="93"/>
      <c r="K729" s="93"/>
      <c r="L729" s="93"/>
      <c r="M729" s="6"/>
      <c r="N729" s="6"/>
      <c r="O729" s="6"/>
      <c r="P729" s="6"/>
      <c r="Q729" s="6"/>
      <c r="R729" s="6"/>
      <c r="S729" s="6"/>
      <c r="T729" s="6"/>
      <c r="U729" s="6"/>
      <c r="V729" s="6"/>
      <c r="W729" s="6"/>
      <c r="X729" s="6"/>
      <c r="Y729" s="6"/>
      <c r="Z729" s="6"/>
      <c r="AA729" s="6"/>
      <c r="AB729" s="6"/>
    </row>
    <row r="730" ht="16.5" customHeight="1">
      <c r="A730" s="6"/>
      <c r="B730" s="6"/>
      <c r="C730" s="6"/>
      <c r="D730" s="6"/>
      <c r="E730" s="6"/>
      <c r="F730" s="6"/>
      <c r="G730" s="6"/>
      <c r="H730" s="93"/>
      <c r="I730" s="93"/>
      <c r="J730" s="93"/>
      <c r="K730" s="93"/>
      <c r="L730" s="93"/>
      <c r="M730" s="6"/>
      <c r="N730" s="6"/>
      <c r="O730" s="6"/>
      <c r="P730" s="6"/>
      <c r="Q730" s="6"/>
      <c r="R730" s="6"/>
      <c r="S730" s="6"/>
      <c r="T730" s="6"/>
      <c r="U730" s="6"/>
      <c r="V730" s="6"/>
      <c r="W730" s="6"/>
      <c r="X730" s="6"/>
      <c r="Y730" s="6"/>
      <c r="Z730" s="6"/>
      <c r="AA730" s="6"/>
      <c r="AB730" s="6"/>
    </row>
    <row r="731" ht="16.5" customHeight="1">
      <c r="A731" s="6"/>
      <c r="B731" s="6"/>
      <c r="C731" s="6"/>
      <c r="D731" s="6"/>
      <c r="E731" s="6"/>
      <c r="F731" s="6"/>
      <c r="G731" s="6"/>
      <c r="H731" s="93"/>
      <c r="I731" s="93"/>
      <c r="J731" s="93"/>
      <c r="K731" s="93"/>
      <c r="L731" s="93"/>
      <c r="M731" s="6"/>
      <c r="N731" s="6"/>
      <c r="O731" s="6"/>
      <c r="P731" s="6"/>
      <c r="Q731" s="6"/>
      <c r="R731" s="6"/>
      <c r="S731" s="6"/>
      <c r="T731" s="6"/>
      <c r="U731" s="6"/>
      <c r="V731" s="6"/>
      <c r="W731" s="6"/>
      <c r="X731" s="6"/>
      <c r="Y731" s="6"/>
      <c r="Z731" s="6"/>
      <c r="AA731" s="6"/>
      <c r="AB731" s="6"/>
    </row>
    <row r="732" ht="16.5" customHeight="1">
      <c r="A732" s="6"/>
      <c r="B732" s="6"/>
      <c r="C732" s="6"/>
      <c r="D732" s="6"/>
      <c r="E732" s="6"/>
      <c r="F732" s="6"/>
      <c r="G732" s="6"/>
      <c r="H732" s="93"/>
      <c r="I732" s="93"/>
      <c r="J732" s="93"/>
      <c r="K732" s="93"/>
      <c r="L732" s="93"/>
      <c r="M732" s="6"/>
      <c r="N732" s="6"/>
      <c r="O732" s="6"/>
      <c r="P732" s="6"/>
      <c r="Q732" s="6"/>
      <c r="R732" s="6"/>
      <c r="S732" s="6"/>
      <c r="T732" s="6"/>
      <c r="U732" s="6"/>
      <c r="V732" s="6"/>
      <c r="W732" s="6"/>
      <c r="X732" s="6"/>
      <c r="Y732" s="6"/>
      <c r="Z732" s="6"/>
      <c r="AA732" s="6"/>
      <c r="AB732" s="6"/>
    </row>
    <row r="733" ht="16.5" customHeight="1">
      <c r="A733" s="6"/>
      <c r="B733" s="6"/>
      <c r="C733" s="6"/>
      <c r="D733" s="6"/>
      <c r="E733" s="6"/>
      <c r="F733" s="6"/>
      <c r="G733" s="6"/>
      <c r="H733" s="93"/>
      <c r="I733" s="93"/>
      <c r="J733" s="93"/>
      <c r="K733" s="93"/>
      <c r="L733" s="93"/>
      <c r="M733" s="6"/>
      <c r="N733" s="6"/>
      <c r="O733" s="6"/>
      <c r="P733" s="6"/>
      <c r="Q733" s="6"/>
      <c r="R733" s="6"/>
      <c r="S733" s="6"/>
      <c r="T733" s="6"/>
      <c r="U733" s="6"/>
      <c r="V733" s="6"/>
      <c r="W733" s="6"/>
      <c r="X733" s="6"/>
      <c r="Y733" s="6"/>
      <c r="Z733" s="6"/>
      <c r="AA733" s="6"/>
      <c r="AB733" s="6"/>
    </row>
    <row r="734" ht="16.5" customHeight="1">
      <c r="A734" s="6"/>
      <c r="B734" s="6"/>
      <c r="C734" s="6"/>
      <c r="D734" s="6"/>
      <c r="E734" s="6"/>
      <c r="F734" s="6"/>
      <c r="G734" s="6"/>
      <c r="H734" s="93"/>
      <c r="I734" s="93"/>
      <c r="J734" s="93"/>
      <c r="K734" s="93"/>
      <c r="L734" s="93"/>
      <c r="M734" s="6"/>
      <c r="N734" s="6"/>
      <c r="O734" s="6"/>
      <c r="P734" s="6"/>
      <c r="Q734" s="6"/>
      <c r="R734" s="6"/>
      <c r="S734" s="6"/>
      <c r="T734" s="6"/>
      <c r="U734" s="6"/>
      <c r="V734" s="6"/>
      <c r="W734" s="6"/>
      <c r="X734" s="6"/>
      <c r="Y734" s="6"/>
      <c r="Z734" s="6"/>
      <c r="AA734" s="6"/>
      <c r="AB734" s="6"/>
    </row>
    <row r="735" ht="16.5" customHeight="1">
      <c r="A735" s="6"/>
      <c r="B735" s="6"/>
      <c r="C735" s="6"/>
      <c r="D735" s="6"/>
      <c r="E735" s="6"/>
      <c r="F735" s="6"/>
      <c r="G735" s="6"/>
      <c r="H735" s="93"/>
      <c r="I735" s="93"/>
      <c r="J735" s="93"/>
      <c r="K735" s="93"/>
      <c r="L735" s="93"/>
      <c r="M735" s="6"/>
      <c r="N735" s="6"/>
      <c r="O735" s="6"/>
      <c r="P735" s="6"/>
      <c r="Q735" s="6"/>
      <c r="R735" s="6"/>
      <c r="S735" s="6"/>
      <c r="T735" s="6"/>
      <c r="U735" s="6"/>
      <c r="V735" s="6"/>
      <c r="W735" s="6"/>
      <c r="X735" s="6"/>
      <c r="Y735" s="6"/>
      <c r="Z735" s="6"/>
      <c r="AA735" s="6"/>
      <c r="AB735" s="6"/>
    </row>
    <row r="736" ht="16.5" customHeight="1">
      <c r="A736" s="6"/>
      <c r="B736" s="6"/>
      <c r="C736" s="6"/>
      <c r="D736" s="6"/>
      <c r="E736" s="6"/>
      <c r="F736" s="6"/>
      <c r="G736" s="6"/>
      <c r="H736" s="93"/>
      <c r="I736" s="93"/>
      <c r="J736" s="93"/>
      <c r="K736" s="93"/>
      <c r="L736" s="93"/>
      <c r="M736" s="6"/>
      <c r="N736" s="6"/>
      <c r="O736" s="6"/>
      <c r="P736" s="6"/>
      <c r="Q736" s="6"/>
      <c r="R736" s="6"/>
      <c r="S736" s="6"/>
      <c r="T736" s="6"/>
      <c r="U736" s="6"/>
      <c r="V736" s="6"/>
      <c r="W736" s="6"/>
      <c r="X736" s="6"/>
      <c r="Y736" s="6"/>
      <c r="Z736" s="6"/>
      <c r="AA736" s="6"/>
      <c r="AB736" s="6"/>
    </row>
    <row r="737" ht="16.5" customHeight="1">
      <c r="A737" s="6"/>
      <c r="B737" s="6"/>
      <c r="C737" s="6"/>
      <c r="D737" s="6"/>
      <c r="E737" s="6"/>
      <c r="F737" s="6"/>
      <c r="G737" s="6"/>
      <c r="H737" s="93"/>
      <c r="I737" s="93"/>
      <c r="J737" s="93"/>
      <c r="K737" s="93"/>
      <c r="L737" s="93"/>
      <c r="M737" s="6"/>
      <c r="N737" s="6"/>
      <c r="O737" s="6"/>
      <c r="P737" s="6"/>
      <c r="Q737" s="6"/>
      <c r="R737" s="6"/>
      <c r="S737" s="6"/>
      <c r="T737" s="6"/>
      <c r="U737" s="6"/>
      <c r="V737" s="6"/>
      <c r="W737" s="6"/>
      <c r="X737" s="6"/>
      <c r="Y737" s="6"/>
      <c r="Z737" s="6"/>
      <c r="AA737" s="6"/>
      <c r="AB737" s="6"/>
    </row>
    <row r="738" ht="16.5" customHeight="1">
      <c r="A738" s="6"/>
      <c r="B738" s="6"/>
      <c r="C738" s="6"/>
      <c r="D738" s="6"/>
      <c r="E738" s="6"/>
      <c r="F738" s="6"/>
      <c r="G738" s="6"/>
      <c r="H738" s="93"/>
      <c r="I738" s="93"/>
      <c r="J738" s="93"/>
      <c r="K738" s="93"/>
      <c r="L738" s="93"/>
      <c r="M738" s="6"/>
      <c r="N738" s="6"/>
      <c r="O738" s="6"/>
      <c r="P738" s="6"/>
      <c r="Q738" s="6"/>
      <c r="R738" s="6"/>
      <c r="S738" s="6"/>
      <c r="T738" s="6"/>
      <c r="U738" s="6"/>
      <c r="V738" s="6"/>
      <c r="W738" s="6"/>
      <c r="X738" s="6"/>
      <c r="Y738" s="6"/>
      <c r="Z738" s="6"/>
      <c r="AA738" s="6"/>
      <c r="AB738" s="6"/>
    </row>
    <row r="739" ht="16.5" customHeight="1">
      <c r="A739" s="6"/>
      <c r="B739" s="6"/>
      <c r="C739" s="6"/>
      <c r="D739" s="6"/>
      <c r="E739" s="6"/>
      <c r="F739" s="6"/>
      <c r="G739" s="6"/>
      <c r="H739" s="93"/>
      <c r="I739" s="93"/>
      <c r="J739" s="93"/>
      <c r="K739" s="93"/>
      <c r="L739" s="93"/>
      <c r="M739" s="6"/>
      <c r="N739" s="6"/>
      <c r="O739" s="6"/>
      <c r="P739" s="6"/>
      <c r="Q739" s="6"/>
      <c r="R739" s="6"/>
      <c r="S739" s="6"/>
      <c r="T739" s="6"/>
      <c r="U739" s="6"/>
      <c r="V739" s="6"/>
      <c r="W739" s="6"/>
      <c r="X739" s="6"/>
      <c r="Y739" s="6"/>
      <c r="Z739" s="6"/>
      <c r="AA739" s="6"/>
      <c r="AB739" s="6"/>
    </row>
    <row r="740" ht="16.5" customHeight="1">
      <c r="A740" s="6"/>
      <c r="B740" s="6"/>
      <c r="C740" s="6"/>
      <c r="D740" s="6"/>
      <c r="E740" s="6"/>
      <c r="F740" s="6"/>
      <c r="G740" s="6"/>
      <c r="H740" s="93"/>
      <c r="I740" s="93"/>
      <c r="J740" s="93"/>
      <c r="K740" s="93"/>
      <c r="L740" s="93"/>
      <c r="M740" s="6"/>
      <c r="N740" s="6"/>
      <c r="O740" s="6"/>
      <c r="P740" s="6"/>
      <c r="Q740" s="6"/>
      <c r="R740" s="6"/>
      <c r="S740" s="6"/>
      <c r="T740" s="6"/>
      <c r="U740" s="6"/>
      <c r="V740" s="6"/>
      <c r="W740" s="6"/>
      <c r="X740" s="6"/>
      <c r="Y740" s="6"/>
      <c r="Z740" s="6"/>
      <c r="AA740" s="6"/>
      <c r="AB740" s="6"/>
    </row>
    <row r="741" ht="16.5" customHeight="1">
      <c r="A741" s="6"/>
      <c r="B741" s="6"/>
      <c r="C741" s="6"/>
      <c r="D741" s="6"/>
      <c r="E741" s="6"/>
      <c r="F741" s="6"/>
      <c r="G741" s="6"/>
      <c r="H741" s="93"/>
      <c r="I741" s="93"/>
      <c r="J741" s="93"/>
      <c r="K741" s="93"/>
      <c r="L741" s="93"/>
      <c r="M741" s="6"/>
      <c r="N741" s="6"/>
      <c r="O741" s="6"/>
      <c r="P741" s="6"/>
      <c r="Q741" s="6"/>
      <c r="R741" s="6"/>
      <c r="S741" s="6"/>
      <c r="T741" s="6"/>
      <c r="U741" s="6"/>
      <c r="V741" s="6"/>
      <c r="W741" s="6"/>
      <c r="X741" s="6"/>
      <c r="Y741" s="6"/>
      <c r="Z741" s="6"/>
      <c r="AA741" s="6"/>
      <c r="AB741" s="6"/>
    </row>
    <row r="742" ht="16.5" customHeight="1">
      <c r="A742" s="6"/>
      <c r="B742" s="6"/>
      <c r="C742" s="6"/>
      <c r="D742" s="6"/>
      <c r="E742" s="6"/>
      <c r="F742" s="6"/>
      <c r="G742" s="6"/>
      <c r="H742" s="93"/>
      <c r="I742" s="93"/>
      <c r="J742" s="93"/>
      <c r="K742" s="93"/>
      <c r="L742" s="93"/>
      <c r="M742" s="6"/>
      <c r="N742" s="6"/>
      <c r="O742" s="6"/>
      <c r="P742" s="6"/>
      <c r="Q742" s="6"/>
      <c r="R742" s="6"/>
      <c r="S742" s="6"/>
      <c r="T742" s="6"/>
      <c r="U742" s="6"/>
      <c r="V742" s="6"/>
      <c r="W742" s="6"/>
      <c r="X742" s="6"/>
      <c r="Y742" s="6"/>
      <c r="Z742" s="6"/>
      <c r="AA742" s="6"/>
      <c r="AB742" s="6"/>
    </row>
    <row r="743" ht="16.5" customHeight="1">
      <c r="A743" s="6"/>
      <c r="B743" s="6"/>
      <c r="C743" s="6"/>
      <c r="D743" s="6"/>
      <c r="E743" s="6"/>
      <c r="F743" s="6"/>
      <c r="G743" s="6"/>
      <c r="H743" s="93"/>
      <c r="I743" s="93"/>
      <c r="J743" s="93"/>
      <c r="K743" s="93"/>
      <c r="L743" s="93"/>
      <c r="M743" s="6"/>
      <c r="N743" s="6"/>
      <c r="O743" s="6"/>
      <c r="P743" s="6"/>
      <c r="Q743" s="6"/>
      <c r="R743" s="6"/>
      <c r="S743" s="6"/>
      <c r="T743" s="6"/>
      <c r="U743" s="6"/>
      <c r="V743" s="6"/>
      <c r="W743" s="6"/>
      <c r="X743" s="6"/>
      <c r="Y743" s="6"/>
      <c r="Z743" s="6"/>
      <c r="AA743" s="6"/>
      <c r="AB743" s="6"/>
    </row>
    <row r="744" ht="16.5" customHeight="1">
      <c r="A744" s="6"/>
      <c r="B744" s="6"/>
      <c r="C744" s="6"/>
      <c r="D744" s="6"/>
      <c r="E744" s="6"/>
      <c r="F744" s="6"/>
      <c r="G744" s="6"/>
      <c r="H744" s="93"/>
      <c r="I744" s="93"/>
      <c r="J744" s="93"/>
      <c r="K744" s="93"/>
      <c r="L744" s="93"/>
      <c r="M744" s="6"/>
      <c r="N744" s="6"/>
      <c r="O744" s="6"/>
      <c r="P744" s="6"/>
      <c r="Q744" s="6"/>
      <c r="R744" s="6"/>
      <c r="S744" s="6"/>
      <c r="T744" s="6"/>
      <c r="U744" s="6"/>
      <c r="V744" s="6"/>
      <c r="W744" s="6"/>
      <c r="X744" s="6"/>
      <c r="Y744" s="6"/>
      <c r="Z744" s="6"/>
      <c r="AA744" s="6"/>
      <c r="AB744" s="6"/>
    </row>
    <row r="745" ht="16.5" customHeight="1">
      <c r="A745" s="6"/>
      <c r="B745" s="6"/>
      <c r="C745" s="6"/>
      <c r="D745" s="6"/>
      <c r="E745" s="6"/>
      <c r="F745" s="6"/>
      <c r="G745" s="6"/>
      <c r="H745" s="93"/>
      <c r="I745" s="93"/>
      <c r="J745" s="93"/>
      <c r="K745" s="93"/>
      <c r="L745" s="93"/>
      <c r="M745" s="6"/>
      <c r="N745" s="6"/>
      <c r="O745" s="6"/>
      <c r="P745" s="6"/>
      <c r="Q745" s="6"/>
      <c r="R745" s="6"/>
      <c r="S745" s="6"/>
      <c r="T745" s="6"/>
      <c r="U745" s="6"/>
      <c r="V745" s="6"/>
      <c r="W745" s="6"/>
      <c r="X745" s="6"/>
      <c r="Y745" s="6"/>
      <c r="Z745" s="6"/>
      <c r="AA745" s="6"/>
      <c r="AB745" s="6"/>
    </row>
    <row r="746" ht="16.5" customHeight="1">
      <c r="A746" s="6"/>
      <c r="B746" s="6"/>
      <c r="C746" s="6"/>
      <c r="D746" s="6"/>
      <c r="E746" s="6"/>
      <c r="F746" s="6"/>
      <c r="G746" s="6"/>
      <c r="H746" s="93"/>
      <c r="I746" s="93"/>
      <c r="J746" s="93"/>
      <c r="K746" s="93"/>
      <c r="L746" s="93"/>
      <c r="M746" s="6"/>
      <c r="N746" s="6"/>
      <c r="O746" s="6"/>
      <c r="P746" s="6"/>
      <c r="Q746" s="6"/>
      <c r="R746" s="6"/>
      <c r="S746" s="6"/>
      <c r="T746" s="6"/>
      <c r="U746" s="6"/>
      <c r="V746" s="6"/>
      <c r="W746" s="6"/>
      <c r="X746" s="6"/>
      <c r="Y746" s="6"/>
      <c r="Z746" s="6"/>
      <c r="AA746" s="6"/>
      <c r="AB746" s="6"/>
    </row>
    <row r="747" ht="16.5" customHeight="1">
      <c r="A747" s="6"/>
      <c r="B747" s="6"/>
      <c r="C747" s="6"/>
      <c r="D747" s="6"/>
      <c r="E747" s="6"/>
      <c r="F747" s="6"/>
      <c r="G747" s="6"/>
      <c r="H747" s="93"/>
      <c r="I747" s="93"/>
      <c r="J747" s="93"/>
      <c r="K747" s="93"/>
      <c r="L747" s="93"/>
      <c r="M747" s="6"/>
      <c r="N747" s="6"/>
      <c r="O747" s="6"/>
      <c r="P747" s="6"/>
      <c r="Q747" s="6"/>
      <c r="R747" s="6"/>
      <c r="S747" s="6"/>
      <c r="T747" s="6"/>
      <c r="U747" s="6"/>
      <c r="V747" s="6"/>
      <c r="W747" s="6"/>
      <c r="X747" s="6"/>
      <c r="Y747" s="6"/>
      <c r="Z747" s="6"/>
      <c r="AA747" s="6"/>
      <c r="AB747" s="6"/>
    </row>
    <row r="748" ht="16.5" customHeight="1">
      <c r="A748" s="6"/>
      <c r="B748" s="6"/>
      <c r="C748" s="6"/>
      <c r="D748" s="6"/>
      <c r="E748" s="6"/>
      <c r="F748" s="6"/>
      <c r="G748" s="6"/>
      <c r="H748" s="93"/>
      <c r="I748" s="93"/>
      <c r="J748" s="93"/>
      <c r="K748" s="93"/>
      <c r="L748" s="93"/>
      <c r="M748" s="6"/>
      <c r="N748" s="6"/>
      <c r="O748" s="6"/>
      <c r="P748" s="6"/>
      <c r="Q748" s="6"/>
      <c r="R748" s="6"/>
      <c r="S748" s="6"/>
      <c r="T748" s="6"/>
      <c r="U748" s="6"/>
      <c r="V748" s="6"/>
      <c r="W748" s="6"/>
      <c r="X748" s="6"/>
      <c r="Y748" s="6"/>
      <c r="Z748" s="6"/>
      <c r="AA748" s="6"/>
      <c r="AB748" s="6"/>
    </row>
    <row r="749" ht="16.5" customHeight="1">
      <c r="A749" s="6"/>
      <c r="B749" s="6"/>
      <c r="C749" s="6"/>
      <c r="D749" s="6"/>
      <c r="E749" s="6"/>
      <c r="F749" s="6"/>
      <c r="G749" s="6"/>
      <c r="H749" s="93"/>
      <c r="I749" s="93"/>
      <c r="J749" s="93"/>
      <c r="K749" s="93"/>
      <c r="L749" s="93"/>
      <c r="M749" s="6"/>
      <c r="N749" s="6"/>
      <c r="O749" s="6"/>
      <c r="P749" s="6"/>
      <c r="Q749" s="6"/>
      <c r="R749" s="6"/>
      <c r="S749" s="6"/>
      <c r="T749" s="6"/>
      <c r="U749" s="6"/>
      <c r="V749" s="6"/>
      <c r="W749" s="6"/>
      <c r="X749" s="6"/>
      <c r="Y749" s="6"/>
      <c r="Z749" s="6"/>
      <c r="AA749" s="6"/>
      <c r="AB749" s="6"/>
    </row>
    <row r="750" ht="16.5" customHeight="1">
      <c r="A750" s="6"/>
      <c r="B750" s="6"/>
      <c r="C750" s="6"/>
      <c r="D750" s="6"/>
      <c r="E750" s="6"/>
      <c r="F750" s="6"/>
      <c r="G750" s="6"/>
      <c r="H750" s="93"/>
      <c r="I750" s="93"/>
      <c r="J750" s="93"/>
      <c r="K750" s="93"/>
      <c r="L750" s="93"/>
      <c r="M750" s="6"/>
      <c r="N750" s="6"/>
      <c r="O750" s="6"/>
      <c r="P750" s="6"/>
      <c r="Q750" s="6"/>
      <c r="R750" s="6"/>
      <c r="S750" s="6"/>
      <c r="T750" s="6"/>
      <c r="U750" s="6"/>
      <c r="V750" s="6"/>
      <c r="W750" s="6"/>
      <c r="X750" s="6"/>
      <c r="Y750" s="6"/>
      <c r="Z750" s="6"/>
      <c r="AA750" s="6"/>
      <c r="AB750" s="6"/>
    </row>
    <row r="751" ht="16.5" customHeight="1">
      <c r="A751" s="6"/>
      <c r="B751" s="6"/>
      <c r="C751" s="6"/>
      <c r="D751" s="6"/>
      <c r="E751" s="6"/>
      <c r="F751" s="6"/>
      <c r="G751" s="6"/>
      <c r="H751" s="93"/>
      <c r="I751" s="93"/>
      <c r="J751" s="93"/>
      <c r="K751" s="93"/>
      <c r="L751" s="93"/>
      <c r="M751" s="6"/>
      <c r="N751" s="6"/>
      <c r="O751" s="6"/>
      <c r="P751" s="6"/>
      <c r="Q751" s="6"/>
      <c r="R751" s="6"/>
      <c r="S751" s="6"/>
      <c r="T751" s="6"/>
      <c r="U751" s="6"/>
      <c r="V751" s="6"/>
      <c r="W751" s="6"/>
      <c r="X751" s="6"/>
      <c r="Y751" s="6"/>
      <c r="Z751" s="6"/>
      <c r="AA751" s="6"/>
      <c r="AB751" s="6"/>
    </row>
    <row r="752" ht="16.5" customHeight="1">
      <c r="A752" s="6"/>
      <c r="B752" s="6"/>
      <c r="C752" s="6"/>
      <c r="D752" s="6"/>
      <c r="E752" s="6"/>
      <c r="F752" s="6"/>
      <c r="G752" s="6"/>
      <c r="H752" s="93"/>
      <c r="I752" s="93"/>
      <c r="J752" s="93"/>
      <c r="K752" s="93"/>
      <c r="L752" s="93"/>
      <c r="M752" s="6"/>
      <c r="N752" s="6"/>
      <c r="O752" s="6"/>
      <c r="P752" s="6"/>
      <c r="Q752" s="6"/>
      <c r="R752" s="6"/>
      <c r="S752" s="6"/>
      <c r="T752" s="6"/>
      <c r="U752" s="6"/>
      <c r="V752" s="6"/>
      <c r="W752" s="6"/>
      <c r="X752" s="6"/>
      <c r="Y752" s="6"/>
      <c r="Z752" s="6"/>
      <c r="AA752" s="6"/>
      <c r="AB752" s="6"/>
    </row>
    <row r="753" ht="16.5" customHeight="1">
      <c r="A753" s="6"/>
      <c r="B753" s="6"/>
      <c r="C753" s="6"/>
      <c r="D753" s="6"/>
      <c r="E753" s="6"/>
      <c r="F753" s="6"/>
      <c r="G753" s="6"/>
      <c r="H753" s="93"/>
      <c r="I753" s="93"/>
      <c r="J753" s="93"/>
      <c r="K753" s="93"/>
      <c r="L753" s="93"/>
      <c r="M753" s="6"/>
      <c r="N753" s="6"/>
      <c r="O753" s="6"/>
      <c r="P753" s="6"/>
      <c r="Q753" s="6"/>
      <c r="R753" s="6"/>
      <c r="S753" s="6"/>
      <c r="T753" s="6"/>
      <c r="U753" s="6"/>
      <c r="V753" s="6"/>
      <c r="W753" s="6"/>
      <c r="X753" s="6"/>
      <c r="Y753" s="6"/>
      <c r="Z753" s="6"/>
      <c r="AA753" s="6"/>
      <c r="AB753" s="6"/>
    </row>
    <row r="754" ht="16.5" customHeight="1">
      <c r="A754" s="6"/>
      <c r="B754" s="6"/>
      <c r="C754" s="6"/>
      <c r="D754" s="6"/>
      <c r="E754" s="6"/>
      <c r="F754" s="6"/>
      <c r="G754" s="6"/>
      <c r="H754" s="93"/>
      <c r="I754" s="93"/>
      <c r="J754" s="93"/>
      <c r="K754" s="93"/>
      <c r="L754" s="93"/>
      <c r="M754" s="6"/>
      <c r="N754" s="6"/>
      <c r="O754" s="6"/>
      <c r="P754" s="6"/>
      <c r="Q754" s="6"/>
      <c r="R754" s="6"/>
      <c r="S754" s="6"/>
      <c r="T754" s="6"/>
      <c r="U754" s="6"/>
      <c r="V754" s="6"/>
      <c r="W754" s="6"/>
      <c r="X754" s="6"/>
      <c r="Y754" s="6"/>
      <c r="Z754" s="6"/>
      <c r="AA754" s="6"/>
      <c r="AB754" s="6"/>
    </row>
    <row r="755" ht="16.5" customHeight="1">
      <c r="A755" s="6"/>
      <c r="B755" s="6"/>
      <c r="C755" s="6"/>
      <c r="D755" s="6"/>
      <c r="E755" s="6"/>
      <c r="F755" s="6"/>
      <c r="G755" s="6"/>
      <c r="H755" s="93"/>
      <c r="I755" s="93"/>
      <c r="J755" s="93"/>
      <c r="K755" s="93"/>
      <c r="L755" s="93"/>
      <c r="M755" s="6"/>
      <c r="N755" s="6"/>
      <c r="O755" s="6"/>
      <c r="P755" s="6"/>
      <c r="Q755" s="6"/>
      <c r="R755" s="6"/>
      <c r="S755" s="6"/>
      <c r="T755" s="6"/>
      <c r="U755" s="6"/>
      <c r="V755" s="6"/>
      <c r="W755" s="6"/>
      <c r="X755" s="6"/>
      <c r="Y755" s="6"/>
      <c r="Z755" s="6"/>
      <c r="AA755" s="6"/>
      <c r="AB755" s="6"/>
    </row>
    <row r="756" ht="16.5" customHeight="1">
      <c r="A756" s="6"/>
      <c r="B756" s="6"/>
      <c r="C756" s="6"/>
      <c r="D756" s="6"/>
      <c r="E756" s="6"/>
      <c r="F756" s="6"/>
      <c r="G756" s="6"/>
      <c r="H756" s="93"/>
      <c r="I756" s="93"/>
      <c r="J756" s="93"/>
      <c r="K756" s="93"/>
      <c r="L756" s="93"/>
      <c r="M756" s="6"/>
      <c r="N756" s="6"/>
      <c r="O756" s="6"/>
      <c r="P756" s="6"/>
      <c r="Q756" s="6"/>
      <c r="R756" s="6"/>
      <c r="S756" s="6"/>
      <c r="T756" s="6"/>
      <c r="U756" s="6"/>
      <c r="V756" s="6"/>
      <c r="W756" s="6"/>
      <c r="X756" s="6"/>
      <c r="Y756" s="6"/>
      <c r="Z756" s="6"/>
      <c r="AA756" s="6"/>
      <c r="AB756" s="6"/>
    </row>
    <row r="757" ht="16.5" customHeight="1">
      <c r="A757" s="6"/>
      <c r="B757" s="6"/>
      <c r="C757" s="6"/>
      <c r="D757" s="6"/>
      <c r="E757" s="6"/>
      <c r="F757" s="6"/>
      <c r="G757" s="6"/>
      <c r="H757" s="93"/>
      <c r="I757" s="93"/>
      <c r="J757" s="93"/>
      <c r="K757" s="93"/>
      <c r="L757" s="93"/>
      <c r="M757" s="6"/>
      <c r="N757" s="6"/>
      <c r="O757" s="6"/>
      <c r="P757" s="6"/>
      <c r="Q757" s="6"/>
      <c r="R757" s="6"/>
      <c r="S757" s="6"/>
      <c r="T757" s="6"/>
      <c r="U757" s="6"/>
      <c r="V757" s="6"/>
      <c r="W757" s="6"/>
      <c r="X757" s="6"/>
      <c r="Y757" s="6"/>
      <c r="Z757" s="6"/>
      <c r="AA757" s="6"/>
      <c r="AB757" s="6"/>
    </row>
    <row r="758" ht="16.5" customHeight="1">
      <c r="A758" s="6"/>
      <c r="B758" s="6"/>
      <c r="C758" s="6"/>
      <c r="D758" s="6"/>
      <c r="E758" s="6"/>
      <c r="F758" s="6"/>
      <c r="G758" s="6"/>
      <c r="H758" s="93"/>
      <c r="I758" s="93"/>
      <c r="J758" s="93"/>
      <c r="K758" s="93"/>
      <c r="L758" s="93"/>
      <c r="M758" s="6"/>
      <c r="N758" s="6"/>
      <c r="O758" s="6"/>
      <c r="P758" s="6"/>
      <c r="Q758" s="6"/>
      <c r="R758" s="6"/>
      <c r="S758" s="6"/>
      <c r="T758" s="6"/>
      <c r="U758" s="6"/>
      <c r="V758" s="6"/>
      <c r="W758" s="6"/>
      <c r="X758" s="6"/>
      <c r="Y758" s="6"/>
      <c r="Z758" s="6"/>
      <c r="AA758" s="6"/>
      <c r="AB758" s="6"/>
    </row>
    <row r="759" ht="16.5" customHeight="1">
      <c r="A759" s="6"/>
      <c r="B759" s="6"/>
      <c r="C759" s="6"/>
      <c r="D759" s="6"/>
      <c r="E759" s="6"/>
      <c r="F759" s="6"/>
      <c r="G759" s="6"/>
      <c r="H759" s="93"/>
      <c r="I759" s="93"/>
      <c r="J759" s="93"/>
      <c r="K759" s="93"/>
      <c r="L759" s="93"/>
      <c r="M759" s="6"/>
      <c r="N759" s="6"/>
      <c r="O759" s="6"/>
      <c r="P759" s="6"/>
      <c r="Q759" s="6"/>
      <c r="R759" s="6"/>
      <c r="S759" s="6"/>
      <c r="T759" s="6"/>
      <c r="U759" s="6"/>
      <c r="V759" s="6"/>
      <c r="W759" s="6"/>
      <c r="X759" s="6"/>
      <c r="Y759" s="6"/>
      <c r="Z759" s="6"/>
      <c r="AA759" s="6"/>
      <c r="AB759" s="6"/>
    </row>
    <row r="760" ht="16.5" customHeight="1">
      <c r="A760" s="6"/>
      <c r="B760" s="6"/>
      <c r="C760" s="6"/>
      <c r="D760" s="6"/>
      <c r="E760" s="6"/>
      <c r="F760" s="6"/>
      <c r="G760" s="6"/>
      <c r="H760" s="93"/>
      <c r="I760" s="93"/>
      <c r="J760" s="93"/>
      <c r="K760" s="93"/>
      <c r="L760" s="93"/>
      <c r="M760" s="6"/>
      <c r="N760" s="6"/>
      <c r="O760" s="6"/>
      <c r="P760" s="6"/>
      <c r="Q760" s="6"/>
      <c r="R760" s="6"/>
      <c r="S760" s="6"/>
      <c r="T760" s="6"/>
      <c r="U760" s="6"/>
      <c r="V760" s="6"/>
      <c r="W760" s="6"/>
      <c r="X760" s="6"/>
      <c r="Y760" s="6"/>
      <c r="Z760" s="6"/>
      <c r="AA760" s="6"/>
      <c r="AB760" s="6"/>
    </row>
    <row r="761" ht="16.5" customHeight="1">
      <c r="A761" s="6"/>
      <c r="B761" s="6"/>
      <c r="C761" s="6"/>
      <c r="D761" s="6"/>
      <c r="E761" s="6"/>
      <c r="F761" s="6"/>
      <c r="G761" s="6"/>
      <c r="H761" s="93"/>
      <c r="I761" s="93"/>
      <c r="J761" s="93"/>
      <c r="K761" s="93"/>
      <c r="L761" s="93"/>
      <c r="M761" s="6"/>
      <c r="N761" s="6"/>
      <c r="O761" s="6"/>
      <c r="P761" s="6"/>
      <c r="Q761" s="6"/>
      <c r="R761" s="6"/>
      <c r="S761" s="6"/>
      <c r="T761" s="6"/>
      <c r="U761" s="6"/>
      <c r="V761" s="6"/>
      <c r="W761" s="6"/>
      <c r="X761" s="6"/>
      <c r="Y761" s="6"/>
      <c r="Z761" s="6"/>
      <c r="AA761" s="6"/>
      <c r="AB761" s="6"/>
    </row>
    <row r="762" ht="16.5" customHeight="1">
      <c r="A762" s="6"/>
      <c r="B762" s="6"/>
      <c r="C762" s="6"/>
      <c r="D762" s="6"/>
      <c r="E762" s="6"/>
      <c r="F762" s="6"/>
      <c r="G762" s="6"/>
      <c r="H762" s="93"/>
      <c r="I762" s="93"/>
      <c r="J762" s="93"/>
      <c r="K762" s="93"/>
      <c r="L762" s="93"/>
      <c r="M762" s="6"/>
      <c r="N762" s="6"/>
      <c r="O762" s="6"/>
      <c r="P762" s="6"/>
      <c r="Q762" s="6"/>
      <c r="R762" s="6"/>
      <c r="S762" s="6"/>
      <c r="T762" s="6"/>
      <c r="U762" s="6"/>
      <c r="V762" s="6"/>
      <c r="W762" s="6"/>
      <c r="X762" s="6"/>
      <c r="Y762" s="6"/>
      <c r="Z762" s="6"/>
      <c r="AA762" s="6"/>
      <c r="AB762" s="6"/>
    </row>
    <row r="763" ht="16.5" customHeight="1">
      <c r="A763" s="6"/>
      <c r="B763" s="6"/>
      <c r="C763" s="6"/>
      <c r="D763" s="6"/>
      <c r="E763" s="6"/>
      <c r="F763" s="6"/>
      <c r="G763" s="6"/>
      <c r="H763" s="93"/>
      <c r="I763" s="93"/>
      <c r="J763" s="93"/>
      <c r="K763" s="93"/>
      <c r="L763" s="93"/>
      <c r="M763" s="6"/>
      <c r="N763" s="6"/>
      <c r="O763" s="6"/>
      <c r="P763" s="6"/>
      <c r="Q763" s="6"/>
      <c r="R763" s="6"/>
      <c r="S763" s="6"/>
      <c r="T763" s="6"/>
      <c r="U763" s="6"/>
      <c r="V763" s="6"/>
      <c r="W763" s="6"/>
      <c r="X763" s="6"/>
      <c r="Y763" s="6"/>
      <c r="Z763" s="6"/>
      <c r="AA763" s="6"/>
      <c r="AB763" s="6"/>
    </row>
    <row r="764" ht="16.5" customHeight="1">
      <c r="A764" s="6"/>
      <c r="B764" s="6"/>
      <c r="C764" s="6"/>
      <c r="D764" s="6"/>
      <c r="E764" s="6"/>
      <c r="F764" s="6"/>
      <c r="G764" s="6"/>
      <c r="H764" s="93"/>
      <c r="I764" s="93"/>
      <c r="J764" s="93"/>
      <c r="K764" s="93"/>
      <c r="L764" s="93"/>
      <c r="M764" s="6"/>
      <c r="N764" s="6"/>
      <c r="O764" s="6"/>
      <c r="P764" s="6"/>
      <c r="Q764" s="6"/>
      <c r="R764" s="6"/>
      <c r="S764" s="6"/>
      <c r="T764" s="6"/>
      <c r="U764" s="6"/>
      <c r="V764" s="6"/>
      <c r="W764" s="6"/>
      <c r="X764" s="6"/>
      <c r="Y764" s="6"/>
      <c r="Z764" s="6"/>
      <c r="AA764" s="6"/>
      <c r="AB764" s="6"/>
    </row>
    <row r="765" ht="16.5" customHeight="1">
      <c r="A765" s="6"/>
      <c r="B765" s="6"/>
      <c r="C765" s="6"/>
      <c r="D765" s="6"/>
      <c r="E765" s="6"/>
      <c r="F765" s="6"/>
      <c r="G765" s="6"/>
      <c r="H765" s="93"/>
      <c r="I765" s="93"/>
      <c r="J765" s="93"/>
      <c r="K765" s="93"/>
      <c r="L765" s="93"/>
      <c r="M765" s="6"/>
      <c r="N765" s="6"/>
      <c r="O765" s="6"/>
      <c r="P765" s="6"/>
      <c r="Q765" s="6"/>
      <c r="R765" s="6"/>
      <c r="S765" s="6"/>
      <c r="T765" s="6"/>
      <c r="U765" s="6"/>
      <c r="V765" s="6"/>
      <c r="W765" s="6"/>
      <c r="X765" s="6"/>
      <c r="Y765" s="6"/>
      <c r="Z765" s="6"/>
      <c r="AA765" s="6"/>
      <c r="AB765" s="6"/>
    </row>
    <row r="766" ht="16.5" customHeight="1">
      <c r="A766" s="6"/>
      <c r="B766" s="6"/>
      <c r="C766" s="6"/>
      <c r="D766" s="6"/>
      <c r="E766" s="6"/>
      <c r="F766" s="6"/>
      <c r="G766" s="6"/>
      <c r="H766" s="93"/>
      <c r="I766" s="93"/>
      <c r="J766" s="93"/>
      <c r="K766" s="93"/>
      <c r="L766" s="93"/>
      <c r="M766" s="6"/>
      <c r="N766" s="6"/>
      <c r="O766" s="6"/>
      <c r="P766" s="6"/>
      <c r="Q766" s="6"/>
      <c r="R766" s="6"/>
      <c r="S766" s="6"/>
      <c r="T766" s="6"/>
      <c r="U766" s="6"/>
      <c r="V766" s="6"/>
      <c r="W766" s="6"/>
      <c r="X766" s="6"/>
      <c r="Y766" s="6"/>
      <c r="Z766" s="6"/>
      <c r="AA766" s="6"/>
      <c r="AB766" s="6"/>
    </row>
    <row r="767" ht="16.5" customHeight="1">
      <c r="A767" s="6"/>
      <c r="B767" s="6"/>
      <c r="C767" s="6"/>
      <c r="D767" s="6"/>
      <c r="E767" s="6"/>
      <c r="F767" s="6"/>
      <c r="G767" s="6"/>
      <c r="H767" s="93"/>
      <c r="I767" s="93"/>
      <c r="J767" s="93"/>
      <c r="K767" s="93"/>
      <c r="L767" s="93"/>
      <c r="M767" s="6"/>
      <c r="N767" s="6"/>
      <c r="O767" s="6"/>
      <c r="P767" s="6"/>
      <c r="Q767" s="6"/>
      <c r="R767" s="6"/>
      <c r="S767" s="6"/>
      <c r="T767" s="6"/>
      <c r="U767" s="6"/>
      <c r="V767" s="6"/>
      <c r="W767" s="6"/>
      <c r="X767" s="6"/>
      <c r="Y767" s="6"/>
      <c r="Z767" s="6"/>
      <c r="AA767" s="6"/>
      <c r="AB767" s="6"/>
    </row>
    <row r="768" ht="16.5" customHeight="1">
      <c r="A768" s="6"/>
      <c r="B768" s="6"/>
      <c r="C768" s="6"/>
      <c r="D768" s="6"/>
      <c r="E768" s="6"/>
      <c r="F768" s="6"/>
      <c r="G768" s="6"/>
      <c r="H768" s="93"/>
      <c r="I768" s="93"/>
      <c r="J768" s="93"/>
      <c r="K768" s="93"/>
      <c r="L768" s="93"/>
      <c r="M768" s="6"/>
      <c r="N768" s="6"/>
      <c r="O768" s="6"/>
      <c r="P768" s="6"/>
      <c r="Q768" s="6"/>
      <c r="R768" s="6"/>
      <c r="S768" s="6"/>
      <c r="T768" s="6"/>
      <c r="U768" s="6"/>
      <c r="V768" s="6"/>
      <c r="W768" s="6"/>
      <c r="X768" s="6"/>
      <c r="Y768" s="6"/>
      <c r="Z768" s="6"/>
      <c r="AA768" s="6"/>
      <c r="AB768" s="6"/>
    </row>
    <row r="769" ht="16.5" customHeight="1">
      <c r="A769" s="6"/>
      <c r="B769" s="6"/>
      <c r="C769" s="6"/>
      <c r="D769" s="6"/>
      <c r="E769" s="6"/>
      <c r="F769" s="6"/>
      <c r="G769" s="6"/>
      <c r="H769" s="93"/>
      <c r="I769" s="93"/>
      <c r="J769" s="93"/>
      <c r="K769" s="93"/>
      <c r="L769" s="93"/>
      <c r="M769" s="6"/>
      <c r="N769" s="6"/>
      <c r="O769" s="6"/>
      <c r="P769" s="6"/>
      <c r="Q769" s="6"/>
      <c r="R769" s="6"/>
      <c r="S769" s="6"/>
      <c r="T769" s="6"/>
      <c r="U769" s="6"/>
      <c r="V769" s="6"/>
      <c r="W769" s="6"/>
      <c r="X769" s="6"/>
      <c r="Y769" s="6"/>
      <c r="Z769" s="6"/>
      <c r="AA769" s="6"/>
      <c r="AB769" s="6"/>
    </row>
    <row r="770" ht="16.5" customHeight="1">
      <c r="A770" s="6"/>
      <c r="B770" s="6"/>
      <c r="C770" s="6"/>
      <c r="D770" s="6"/>
      <c r="E770" s="6"/>
      <c r="F770" s="6"/>
      <c r="G770" s="6"/>
      <c r="H770" s="93"/>
      <c r="I770" s="93"/>
      <c r="J770" s="93"/>
      <c r="K770" s="93"/>
      <c r="L770" s="93"/>
      <c r="M770" s="6"/>
      <c r="N770" s="6"/>
      <c r="O770" s="6"/>
      <c r="P770" s="6"/>
      <c r="Q770" s="6"/>
      <c r="R770" s="6"/>
      <c r="S770" s="6"/>
      <c r="T770" s="6"/>
      <c r="U770" s="6"/>
      <c r="V770" s="6"/>
      <c r="W770" s="6"/>
      <c r="X770" s="6"/>
      <c r="Y770" s="6"/>
      <c r="Z770" s="6"/>
      <c r="AA770" s="6"/>
      <c r="AB770" s="6"/>
    </row>
    <row r="771" ht="16.5" customHeight="1">
      <c r="A771" s="6"/>
      <c r="B771" s="6"/>
      <c r="C771" s="6"/>
      <c r="D771" s="6"/>
      <c r="E771" s="6"/>
      <c r="F771" s="6"/>
      <c r="G771" s="6"/>
      <c r="H771" s="93"/>
      <c r="I771" s="93"/>
      <c r="J771" s="93"/>
      <c r="K771" s="93"/>
      <c r="L771" s="93"/>
      <c r="M771" s="6"/>
      <c r="N771" s="6"/>
      <c r="O771" s="6"/>
      <c r="P771" s="6"/>
      <c r="Q771" s="6"/>
      <c r="R771" s="6"/>
      <c r="S771" s="6"/>
      <c r="T771" s="6"/>
      <c r="U771" s="6"/>
      <c r="V771" s="6"/>
      <c r="W771" s="6"/>
      <c r="X771" s="6"/>
      <c r="Y771" s="6"/>
      <c r="Z771" s="6"/>
      <c r="AA771" s="6"/>
      <c r="AB771" s="6"/>
    </row>
    <row r="772" ht="16.5" customHeight="1">
      <c r="A772" s="6"/>
      <c r="B772" s="6"/>
      <c r="C772" s="6"/>
      <c r="D772" s="6"/>
      <c r="E772" s="6"/>
      <c r="F772" s="6"/>
      <c r="G772" s="6"/>
      <c r="H772" s="93"/>
      <c r="I772" s="93"/>
      <c r="J772" s="93"/>
      <c r="K772" s="93"/>
      <c r="L772" s="93"/>
      <c r="M772" s="6"/>
      <c r="N772" s="6"/>
      <c r="O772" s="6"/>
      <c r="P772" s="6"/>
      <c r="Q772" s="6"/>
      <c r="R772" s="6"/>
      <c r="S772" s="6"/>
      <c r="T772" s="6"/>
      <c r="U772" s="6"/>
      <c r="V772" s="6"/>
      <c r="W772" s="6"/>
      <c r="X772" s="6"/>
      <c r="Y772" s="6"/>
      <c r="Z772" s="6"/>
      <c r="AA772" s="6"/>
      <c r="AB772" s="6"/>
    </row>
    <row r="773" ht="16.5" customHeight="1">
      <c r="A773" s="6"/>
      <c r="B773" s="6"/>
      <c r="C773" s="6"/>
      <c r="D773" s="6"/>
      <c r="E773" s="6"/>
      <c r="F773" s="6"/>
      <c r="G773" s="6"/>
      <c r="H773" s="93"/>
      <c r="I773" s="93"/>
      <c r="J773" s="93"/>
      <c r="K773" s="93"/>
      <c r="L773" s="93"/>
      <c r="M773" s="6"/>
      <c r="N773" s="6"/>
      <c r="O773" s="6"/>
      <c r="P773" s="6"/>
      <c r="Q773" s="6"/>
      <c r="R773" s="6"/>
      <c r="S773" s="6"/>
      <c r="T773" s="6"/>
      <c r="U773" s="6"/>
      <c r="V773" s="6"/>
      <c r="W773" s="6"/>
      <c r="X773" s="6"/>
      <c r="Y773" s="6"/>
      <c r="Z773" s="6"/>
      <c r="AA773" s="6"/>
      <c r="AB773" s="6"/>
    </row>
    <row r="774" ht="16.5" customHeight="1">
      <c r="A774" s="6"/>
      <c r="B774" s="6"/>
      <c r="C774" s="6"/>
      <c r="D774" s="6"/>
      <c r="E774" s="6"/>
      <c r="F774" s="6"/>
      <c r="G774" s="6"/>
      <c r="H774" s="93"/>
      <c r="I774" s="93"/>
      <c r="J774" s="93"/>
      <c r="K774" s="93"/>
      <c r="L774" s="93"/>
      <c r="M774" s="6"/>
      <c r="N774" s="6"/>
      <c r="O774" s="6"/>
      <c r="P774" s="6"/>
      <c r="Q774" s="6"/>
      <c r="R774" s="6"/>
      <c r="S774" s="6"/>
      <c r="T774" s="6"/>
      <c r="U774" s="6"/>
      <c r="V774" s="6"/>
      <c r="W774" s="6"/>
      <c r="X774" s="6"/>
      <c r="Y774" s="6"/>
      <c r="Z774" s="6"/>
      <c r="AA774" s="6"/>
      <c r="AB774" s="6"/>
    </row>
    <row r="775" ht="16.5" customHeight="1">
      <c r="A775" s="6"/>
      <c r="B775" s="6"/>
      <c r="C775" s="6"/>
      <c r="D775" s="6"/>
      <c r="E775" s="6"/>
      <c r="F775" s="6"/>
      <c r="G775" s="6"/>
      <c r="H775" s="93"/>
      <c r="I775" s="93"/>
      <c r="J775" s="93"/>
      <c r="K775" s="93"/>
      <c r="L775" s="93"/>
      <c r="M775" s="6"/>
      <c r="N775" s="6"/>
      <c r="O775" s="6"/>
      <c r="P775" s="6"/>
      <c r="Q775" s="6"/>
      <c r="R775" s="6"/>
      <c r="S775" s="6"/>
      <c r="T775" s="6"/>
      <c r="U775" s="6"/>
      <c r="V775" s="6"/>
      <c r="W775" s="6"/>
      <c r="X775" s="6"/>
      <c r="Y775" s="6"/>
      <c r="Z775" s="6"/>
      <c r="AA775" s="6"/>
      <c r="AB775" s="6"/>
    </row>
    <row r="776" ht="16.5" customHeight="1">
      <c r="A776" s="6"/>
      <c r="B776" s="6"/>
      <c r="C776" s="6"/>
      <c r="D776" s="6"/>
      <c r="E776" s="6"/>
      <c r="F776" s="6"/>
      <c r="G776" s="6"/>
      <c r="H776" s="93"/>
      <c r="I776" s="93"/>
      <c r="J776" s="93"/>
      <c r="K776" s="93"/>
      <c r="L776" s="93"/>
      <c r="M776" s="6"/>
      <c r="N776" s="6"/>
      <c r="O776" s="6"/>
      <c r="P776" s="6"/>
      <c r="Q776" s="6"/>
      <c r="R776" s="6"/>
      <c r="S776" s="6"/>
      <c r="T776" s="6"/>
      <c r="U776" s="6"/>
      <c r="V776" s="6"/>
      <c r="W776" s="6"/>
      <c r="X776" s="6"/>
      <c r="Y776" s="6"/>
      <c r="Z776" s="6"/>
      <c r="AA776" s="6"/>
      <c r="AB776" s="6"/>
    </row>
    <row r="777" ht="16.5" customHeight="1">
      <c r="A777" s="6"/>
      <c r="B777" s="6"/>
      <c r="C777" s="6"/>
      <c r="D777" s="6"/>
      <c r="E777" s="6"/>
      <c r="F777" s="6"/>
      <c r="G777" s="6"/>
      <c r="H777" s="93"/>
      <c r="I777" s="93"/>
      <c r="J777" s="93"/>
      <c r="K777" s="93"/>
      <c r="L777" s="93"/>
      <c r="M777" s="6"/>
      <c r="N777" s="6"/>
      <c r="O777" s="6"/>
      <c r="P777" s="6"/>
      <c r="Q777" s="6"/>
      <c r="R777" s="6"/>
      <c r="S777" s="6"/>
      <c r="T777" s="6"/>
      <c r="U777" s="6"/>
      <c r="V777" s="6"/>
      <c r="W777" s="6"/>
      <c r="X777" s="6"/>
      <c r="Y777" s="6"/>
      <c r="Z777" s="6"/>
      <c r="AA777" s="6"/>
      <c r="AB777" s="6"/>
    </row>
    <row r="778" ht="16.5" customHeight="1">
      <c r="A778" s="6"/>
      <c r="B778" s="6"/>
      <c r="C778" s="6"/>
      <c r="D778" s="6"/>
      <c r="E778" s="6"/>
      <c r="F778" s="6"/>
      <c r="G778" s="6"/>
      <c r="H778" s="93"/>
      <c r="I778" s="93"/>
      <c r="J778" s="93"/>
      <c r="K778" s="93"/>
      <c r="L778" s="93"/>
      <c r="M778" s="6"/>
      <c r="N778" s="6"/>
      <c r="O778" s="6"/>
      <c r="P778" s="6"/>
      <c r="Q778" s="6"/>
      <c r="R778" s="6"/>
      <c r="S778" s="6"/>
      <c r="T778" s="6"/>
      <c r="U778" s="6"/>
      <c r="V778" s="6"/>
      <c r="W778" s="6"/>
      <c r="X778" s="6"/>
      <c r="Y778" s="6"/>
      <c r="Z778" s="6"/>
      <c r="AA778" s="6"/>
      <c r="AB778" s="6"/>
    </row>
    <row r="779" ht="16.5" customHeight="1">
      <c r="A779" s="6"/>
      <c r="B779" s="6"/>
      <c r="C779" s="6"/>
      <c r="D779" s="6"/>
      <c r="E779" s="6"/>
      <c r="F779" s="6"/>
      <c r="G779" s="6"/>
      <c r="H779" s="93"/>
      <c r="I779" s="93"/>
      <c r="J779" s="93"/>
      <c r="K779" s="93"/>
      <c r="L779" s="93"/>
      <c r="M779" s="6"/>
      <c r="N779" s="6"/>
      <c r="O779" s="6"/>
      <c r="P779" s="6"/>
      <c r="Q779" s="6"/>
      <c r="R779" s="6"/>
      <c r="S779" s="6"/>
      <c r="T779" s="6"/>
      <c r="U779" s="6"/>
      <c r="V779" s="6"/>
      <c r="W779" s="6"/>
      <c r="X779" s="6"/>
      <c r="Y779" s="6"/>
      <c r="Z779" s="6"/>
      <c r="AA779" s="6"/>
      <c r="AB779" s="6"/>
    </row>
    <row r="780" ht="16.5" customHeight="1">
      <c r="A780" s="6"/>
      <c r="B780" s="6"/>
      <c r="C780" s="6"/>
      <c r="D780" s="6"/>
      <c r="E780" s="6"/>
      <c r="F780" s="6"/>
      <c r="G780" s="6"/>
      <c r="H780" s="93"/>
      <c r="I780" s="93"/>
      <c r="J780" s="93"/>
      <c r="K780" s="93"/>
      <c r="L780" s="93"/>
      <c r="M780" s="6"/>
      <c r="N780" s="6"/>
      <c r="O780" s="6"/>
      <c r="P780" s="6"/>
      <c r="Q780" s="6"/>
      <c r="R780" s="6"/>
      <c r="S780" s="6"/>
      <c r="T780" s="6"/>
      <c r="U780" s="6"/>
      <c r="V780" s="6"/>
      <c r="W780" s="6"/>
      <c r="X780" s="6"/>
      <c r="Y780" s="6"/>
      <c r="Z780" s="6"/>
      <c r="AA780" s="6"/>
      <c r="AB780" s="6"/>
    </row>
    <row r="781" ht="16.5" customHeight="1">
      <c r="A781" s="6"/>
      <c r="B781" s="6"/>
      <c r="C781" s="6"/>
      <c r="D781" s="6"/>
      <c r="E781" s="6"/>
      <c r="F781" s="6"/>
      <c r="G781" s="6"/>
      <c r="H781" s="93"/>
      <c r="I781" s="93"/>
      <c r="J781" s="93"/>
      <c r="K781" s="93"/>
      <c r="L781" s="93"/>
      <c r="M781" s="6"/>
      <c r="N781" s="6"/>
      <c r="O781" s="6"/>
      <c r="P781" s="6"/>
      <c r="Q781" s="6"/>
      <c r="R781" s="6"/>
      <c r="S781" s="6"/>
      <c r="T781" s="6"/>
      <c r="U781" s="6"/>
      <c r="V781" s="6"/>
      <c r="W781" s="6"/>
      <c r="X781" s="6"/>
      <c r="Y781" s="6"/>
      <c r="Z781" s="6"/>
      <c r="AA781" s="6"/>
      <c r="AB781" s="6"/>
    </row>
    <row r="782" ht="16.5" customHeight="1">
      <c r="A782" s="6"/>
      <c r="B782" s="6"/>
      <c r="C782" s="6"/>
      <c r="D782" s="6"/>
      <c r="E782" s="6"/>
      <c r="F782" s="6"/>
      <c r="G782" s="6"/>
      <c r="H782" s="93"/>
      <c r="I782" s="93"/>
      <c r="J782" s="93"/>
      <c r="K782" s="93"/>
      <c r="L782" s="93"/>
      <c r="M782" s="6"/>
      <c r="N782" s="6"/>
      <c r="O782" s="6"/>
      <c r="P782" s="6"/>
      <c r="Q782" s="6"/>
      <c r="R782" s="6"/>
      <c r="S782" s="6"/>
      <c r="T782" s="6"/>
      <c r="U782" s="6"/>
      <c r="V782" s="6"/>
      <c r="W782" s="6"/>
      <c r="X782" s="6"/>
      <c r="Y782" s="6"/>
      <c r="Z782" s="6"/>
      <c r="AA782" s="6"/>
      <c r="AB782" s="6"/>
    </row>
    <row r="783" ht="16.5" customHeight="1">
      <c r="A783" s="6"/>
      <c r="B783" s="6"/>
      <c r="C783" s="6"/>
      <c r="D783" s="6"/>
      <c r="E783" s="6"/>
      <c r="F783" s="6"/>
      <c r="G783" s="6"/>
      <c r="H783" s="93"/>
      <c r="I783" s="93"/>
      <c r="J783" s="93"/>
      <c r="K783" s="93"/>
      <c r="L783" s="93"/>
      <c r="M783" s="6"/>
      <c r="N783" s="6"/>
      <c r="O783" s="6"/>
      <c r="P783" s="6"/>
      <c r="Q783" s="6"/>
      <c r="R783" s="6"/>
      <c r="S783" s="6"/>
      <c r="T783" s="6"/>
      <c r="U783" s="6"/>
      <c r="V783" s="6"/>
      <c r="W783" s="6"/>
      <c r="X783" s="6"/>
      <c r="Y783" s="6"/>
      <c r="Z783" s="6"/>
      <c r="AA783" s="6"/>
      <c r="AB783" s="6"/>
    </row>
    <row r="784" ht="16.5" customHeight="1">
      <c r="A784" s="6"/>
      <c r="B784" s="6"/>
      <c r="C784" s="6"/>
      <c r="D784" s="6"/>
      <c r="E784" s="6"/>
      <c r="F784" s="6"/>
      <c r="G784" s="6"/>
      <c r="H784" s="93"/>
      <c r="I784" s="93"/>
      <c r="J784" s="93"/>
      <c r="K784" s="93"/>
      <c r="L784" s="93"/>
      <c r="M784" s="6"/>
      <c r="N784" s="6"/>
      <c r="O784" s="6"/>
      <c r="P784" s="6"/>
      <c r="Q784" s="6"/>
      <c r="R784" s="6"/>
      <c r="S784" s="6"/>
      <c r="T784" s="6"/>
      <c r="U784" s="6"/>
      <c r="V784" s="6"/>
      <c r="W784" s="6"/>
      <c r="X784" s="6"/>
      <c r="Y784" s="6"/>
      <c r="Z784" s="6"/>
      <c r="AA784" s="6"/>
      <c r="AB784" s="6"/>
    </row>
    <row r="785" ht="16.5" customHeight="1">
      <c r="A785" s="6"/>
      <c r="B785" s="6"/>
      <c r="C785" s="6"/>
      <c r="D785" s="6"/>
      <c r="E785" s="6"/>
      <c r="F785" s="6"/>
      <c r="G785" s="6"/>
      <c r="H785" s="93"/>
      <c r="I785" s="93"/>
      <c r="J785" s="93"/>
      <c r="K785" s="93"/>
      <c r="L785" s="93"/>
      <c r="M785" s="6"/>
      <c r="N785" s="6"/>
      <c r="O785" s="6"/>
      <c r="P785" s="6"/>
      <c r="Q785" s="6"/>
      <c r="R785" s="6"/>
      <c r="S785" s="6"/>
      <c r="T785" s="6"/>
      <c r="U785" s="6"/>
      <c r="V785" s="6"/>
      <c r="W785" s="6"/>
      <c r="X785" s="6"/>
      <c r="Y785" s="6"/>
      <c r="Z785" s="6"/>
      <c r="AA785" s="6"/>
      <c r="AB785" s="6"/>
    </row>
    <row r="786" ht="16.5" customHeight="1">
      <c r="A786" s="6"/>
      <c r="B786" s="6"/>
      <c r="C786" s="6"/>
      <c r="D786" s="6"/>
      <c r="E786" s="6"/>
      <c r="F786" s="6"/>
      <c r="G786" s="6"/>
      <c r="H786" s="93"/>
      <c r="I786" s="93"/>
      <c r="J786" s="93"/>
      <c r="K786" s="93"/>
      <c r="L786" s="93"/>
      <c r="M786" s="6"/>
      <c r="N786" s="6"/>
      <c r="O786" s="6"/>
      <c r="P786" s="6"/>
      <c r="Q786" s="6"/>
      <c r="R786" s="6"/>
      <c r="S786" s="6"/>
      <c r="T786" s="6"/>
      <c r="U786" s="6"/>
      <c r="V786" s="6"/>
      <c r="W786" s="6"/>
      <c r="X786" s="6"/>
      <c r="Y786" s="6"/>
      <c r="Z786" s="6"/>
      <c r="AA786" s="6"/>
      <c r="AB786" s="6"/>
    </row>
    <row r="787" ht="16.5" customHeight="1">
      <c r="A787" s="6"/>
      <c r="B787" s="6"/>
      <c r="C787" s="6"/>
      <c r="D787" s="6"/>
      <c r="E787" s="6"/>
      <c r="F787" s="6"/>
      <c r="G787" s="6"/>
      <c r="H787" s="93"/>
      <c r="I787" s="93"/>
      <c r="J787" s="93"/>
      <c r="K787" s="93"/>
      <c r="L787" s="93"/>
      <c r="M787" s="6"/>
      <c r="N787" s="6"/>
      <c r="O787" s="6"/>
      <c r="P787" s="6"/>
      <c r="Q787" s="6"/>
      <c r="R787" s="6"/>
      <c r="S787" s="6"/>
      <c r="T787" s="6"/>
      <c r="U787" s="6"/>
      <c r="V787" s="6"/>
      <c r="W787" s="6"/>
      <c r="X787" s="6"/>
      <c r="Y787" s="6"/>
      <c r="Z787" s="6"/>
      <c r="AA787" s="6"/>
      <c r="AB787" s="6"/>
    </row>
    <row r="788" ht="16.5" customHeight="1">
      <c r="A788" s="6"/>
      <c r="B788" s="6"/>
      <c r="C788" s="6"/>
      <c r="D788" s="6"/>
      <c r="E788" s="6"/>
      <c r="F788" s="6"/>
      <c r="G788" s="6"/>
      <c r="H788" s="93"/>
      <c r="I788" s="93"/>
      <c r="J788" s="93"/>
      <c r="K788" s="93"/>
      <c r="L788" s="93"/>
      <c r="M788" s="6"/>
      <c r="N788" s="6"/>
      <c r="O788" s="6"/>
      <c r="P788" s="6"/>
      <c r="Q788" s="6"/>
      <c r="R788" s="6"/>
      <c r="S788" s="6"/>
      <c r="T788" s="6"/>
      <c r="U788" s="6"/>
      <c r="V788" s="6"/>
      <c r="W788" s="6"/>
      <c r="X788" s="6"/>
      <c r="Y788" s="6"/>
      <c r="Z788" s="6"/>
      <c r="AA788" s="6"/>
      <c r="AB788" s="6"/>
    </row>
    <row r="789" ht="16.5" customHeight="1">
      <c r="A789" s="6"/>
      <c r="B789" s="6"/>
      <c r="C789" s="6"/>
      <c r="D789" s="6"/>
      <c r="E789" s="6"/>
      <c r="F789" s="6"/>
      <c r="G789" s="6"/>
      <c r="H789" s="93"/>
      <c r="I789" s="93"/>
      <c r="J789" s="93"/>
      <c r="K789" s="93"/>
      <c r="L789" s="93"/>
      <c r="M789" s="6"/>
      <c r="N789" s="6"/>
      <c r="O789" s="6"/>
      <c r="P789" s="6"/>
      <c r="Q789" s="6"/>
      <c r="R789" s="6"/>
      <c r="S789" s="6"/>
      <c r="T789" s="6"/>
      <c r="U789" s="6"/>
      <c r="V789" s="6"/>
      <c r="W789" s="6"/>
      <c r="X789" s="6"/>
      <c r="Y789" s="6"/>
      <c r="Z789" s="6"/>
      <c r="AA789" s="6"/>
      <c r="AB789" s="6"/>
    </row>
    <row r="790" ht="16.5" customHeight="1">
      <c r="A790" s="6"/>
      <c r="B790" s="6"/>
      <c r="C790" s="6"/>
      <c r="D790" s="6"/>
      <c r="E790" s="6"/>
      <c r="F790" s="6"/>
      <c r="G790" s="6"/>
      <c r="H790" s="93"/>
      <c r="I790" s="93"/>
      <c r="J790" s="93"/>
      <c r="K790" s="93"/>
      <c r="L790" s="93"/>
      <c r="M790" s="6"/>
      <c r="N790" s="6"/>
      <c r="O790" s="6"/>
      <c r="P790" s="6"/>
      <c r="Q790" s="6"/>
      <c r="R790" s="6"/>
      <c r="S790" s="6"/>
      <c r="T790" s="6"/>
      <c r="U790" s="6"/>
      <c r="V790" s="6"/>
      <c r="W790" s="6"/>
      <c r="X790" s="6"/>
      <c r="Y790" s="6"/>
      <c r="Z790" s="6"/>
      <c r="AA790" s="6"/>
      <c r="AB790" s="6"/>
    </row>
    <row r="791" ht="16.5" customHeight="1">
      <c r="A791" s="6"/>
      <c r="B791" s="6"/>
      <c r="C791" s="6"/>
      <c r="D791" s="6"/>
      <c r="E791" s="6"/>
      <c r="F791" s="6"/>
      <c r="G791" s="6"/>
      <c r="H791" s="93"/>
      <c r="I791" s="93"/>
      <c r="J791" s="93"/>
      <c r="K791" s="93"/>
      <c r="L791" s="93"/>
      <c r="M791" s="6"/>
      <c r="N791" s="6"/>
      <c r="O791" s="6"/>
      <c r="P791" s="6"/>
      <c r="Q791" s="6"/>
      <c r="R791" s="6"/>
      <c r="S791" s="6"/>
      <c r="T791" s="6"/>
      <c r="U791" s="6"/>
      <c r="V791" s="6"/>
      <c r="W791" s="6"/>
      <c r="X791" s="6"/>
      <c r="Y791" s="6"/>
      <c r="Z791" s="6"/>
      <c r="AA791" s="6"/>
      <c r="AB791" s="6"/>
    </row>
    <row r="792" ht="16.5" customHeight="1">
      <c r="A792" s="6"/>
      <c r="B792" s="6"/>
      <c r="C792" s="6"/>
      <c r="D792" s="6"/>
      <c r="E792" s="6"/>
      <c r="F792" s="6"/>
      <c r="G792" s="6"/>
      <c r="H792" s="93"/>
      <c r="I792" s="93"/>
      <c r="J792" s="93"/>
      <c r="K792" s="93"/>
      <c r="L792" s="93"/>
      <c r="M792" s="6"/>
      <c r="N792" s="6"/>
      <c r="O792" s="6"/>
      <c r="P792" s="6"/>
      <c r="Q792" s="6"/>
      <c r="R792" s="6"/>
      <c r="S792" s="6"/>
      <c r="T792" s="6"/>
      <c r="U792" s="6"/>
      <c r="V792" s="6"/>
      <c r="W792" s="6"/>
      <c r="X792" s="6"/>
      <c r="Y792" s="6"/>
      <c r="Z792" s="6"/>
      <c r="AA792" s="6"/>
      <c r="AB792" s="6"/>
    </row>
    <row r="793" ht="16.5" customHeight="1">
      <c r="A793" s="6"/>
      <c r="B793" s="6"/>
      <c r="C793" s="6"/>
      <c r="D793" s="6"/>
      <c r="E793" s="6"/>
      <c r="F793" s="6"/>
      <c r="G793" s="6"/>
      <c r="H793" s="93"/>
      <c r="I793" s="93"/>
      <c r="J793" s="93"/>
      <c r="K793" s="93"/>
      <c r="L793" s="93"/>
      <c r="M793" s="6"/>
      <c r="N793" s="6"/>
      <c r="O793" s="6"/>
      <c r="P793" s="6"/>
      <c r="Q793" s="6"/>
      <c r="R793" s="6"/>
      <c r="S793" s="6"/>
      <c r="T793" s="6"/>
      <c r="U793" s="6"/>
      <c r="V793" s="6"/>
      <c r="W793" s="6"/>
      <c r="X793" s="6"/>
      <c r="Y793" s="6"/>
      <c r="Z793" s="6"/>
      <c r="AA793" s="6"/>
      <c r="AB793" s="6"/>
    </row>
    <row r="794" ht="16.5" customHeight="1">
      <c r="A794" s="6"/>
      <c r="B794" s="6"/>
      <c r="C794" s="6"/>
      <c r="D794" s="6"/>
      <c r="E794" s="6"/>
      <c r="F794" s="6"/>
      <c r="G794" s="6"/>
      <c r="H794" s="93"/>
      <c r="I794" s="93"/>
      <c r="J794" s="93"/>
      <c r="K794" s="93"/>
      <c r="L794" s="93"/>
      <c r="M794" s="6"/>
      <c r="N794" s="6"/>
      <c r="O794" s="6"/>
      <c r="P794" s="6"/>
      <c r="Q794" s="6"/>
      <c r="R794" s="6"/>
      <c r="S794" s="6"/>
      <c r="T794" s="6"/>
      <c r="U794" s="6"/>
      <c r="V794" s="6"/>
      <c r="W794" s="6"/>
      <c r="X794" s="6"/>
      <c r="Y794" s="6"/>
      <c r="Z794" s="6"/>
      <c r="AA794" s="6"/>
      <c r="AB794" s="6"/>
    </row>
    <row r="795" ht="16.5" customHeight="1">
      <c r="A795" s="6"/>
      <c r="B795" s="6"/>
      <c r="C795" s="6"/>
      <c r="D795" s="6"/>
      <c r="E795" s="6"/>
      <c r="F795" s="6"/>
      <c r="G795" s="6"/>
      <c r="H795" s="93"/>
      <c r="I795" s="93"/>
      <c r="J795" s="93"/>
      <c r="K795" s="93"/>
      <c r="L795" s="93"/>
      <c r="M795" s="6"/>
      <c r="N795" s="6"/>
      <c r="O795" s="6"/>
      <c r="P795" s="6"/>
      <c r="Q795" s="6"/>
      <c r="R795" s="6"/>
      <c r="S795" s="6"/>
      <c r="T795" s="6"/>
      <c r="U795" s="6"/>
      <c r="V795" s="6"/>
      <c r="W795" s="6"/>
      <c r="X795" s="6"/>
      <c r="Y795" s="6"/>
      <c r="Z795" s="6"/>
      <c r="AA795" s="6"/>
      <c r="AB795" s="6"/>
    </row>
    <row r="796" ht="16.5" customHeight="1">
      <c r="A796" s="6"/>
      <c r="B796" s="6"/>
      <c r="C796" s="6"/>
      <c r="D796" s="6"/>
      <c r="E796" s="6"/>
      <c r="F796" s="6"/>
      <c r="G796" s="6"/>
      <c r="H796" s="93"/>
      <c r="I796" s="93"/>
      <c r="J796" s="93"/>
      <c r="K796" s="93"/>
      <c r="L796" s="93"/>
      <c r="M796" s="6"/>
      <c r="N796" s="6"/>
      <c r="O796" s="6"/>
      <c r="P796" s="6"/>
      <c r="Q796" s="6"/>
      <c r="R796" s="6"/>
      <c r="S796" s="6"/>
      <c r="T796" s="6"/>
      <c r="U796" s="6"/>
      <c r="V796" s="6"/>
      <c r="W796" s="6"/>
      <c r="X796" s="6"/>
      <c r="Y796" s="6"/>
      <c r="Z796" s="6"/>
      <c r="AA796" s="6"/>
      <c r="AB796" s="6"/>
    </row>
    <row r="797" ht="16.5" customHeight="1">
      <c r="A797" s="6"/>
      <c r="B797" s="6"/>
      <c r="C797" s="6"/>
      <c r="D797" s="6"/>
      <c r="E797" s="6"/>
      <c r="F797" s="6"/>
      <c r="G797" s="6"/>
      <c r="H797" s="93"/>
      <c r="I797" s="93"/>
      <c r="J797" s="93"/>
      <c r="K797" s="93"/>
      <c r="L797" s="93"/>
      <c r="M797" s="6"/>
      <c r="N797" s="6"/>
      <c r="O797" s="6"/>
      <c r="P797" s="6"/>
      <c r="Q797" s="6"/>
      <c r="R797" s="6"/>
      <c r="S797" s="6"/>
      <c r="T797" s="6"/>
      <c r="U797" s="6"/>
      <c r="V797" s="6"/>
      <c r="W797" s="6"/>
      <c r="X797" s="6"/>
      <c r="Y797" s="6"/>
      <c r="Z797" s="6"/>
      <c r="AA797" s="6"/>
      <c r="AB797" s="6"/>
    </row>
    <row r="798" ht="16.5" customHeight="1">
      <c r="A798" s="6"/>
      <c r="B798" s="6"/>
      <c r="C798" s="6"/>
      <c r="D798" s="6"/>
      <c r="E798" s="6"/>
      <c r="F798" s="6"/>
      <c r="G798" s="6"/>
      <c r="H798" s="93"/>
      <c r="I798" s="93"/>
      <c r="J798" s="93"/>
      <c r="K798" s="93"/>
      <c r="L798" s="93"/>
      <c r="M798" s="6"/>
      <c r="N798" s="6"/>
      <c r="O798" s="6"/>
      <c r="P798" s="6"/>
      <c r="Q798" s="6"/>
      <c r="R798" s="6"/>
      <c r="S798" s="6"/>
      <c r="T798" s="6"/>
      <c r="U798" s="6"/>
      <c r="V798" s="6"/>
      <c r="W798" s="6"/>
      <c r="X798" s="6"/>
      <c r="Y798" s="6"/>
      <c r="Z798" s="6"/>
      <c r="AA798" s="6"/>
      <c r="AB798" s="6"/>
    </row>
    <row r="799" ht="16.5" customHeight="1">
      <c r="A799" s="6"/>
      <c r="B799" s="6"/>
      <c r="C799" s="6"/>
      <c r="D799" s="6"/>
      <c r="E799" s="6"/>
      <c r="F799" s="6"/>
      <c r="G799" s="6"/>
      <c r="H799" s="93"/>
      <c r="I799" s="93"/>
      <c r="J799" s="93"/>
      <c r="K799" s="93"/>
      <c r="L799" s="93"/>
      <c r="M799" s="6"/>
      <c r="N799" s="6"/>
      <c r="O799" s="6"/>
      <c r="P799" s="6"/>
      <c r="Q799" s="6"/>
      <c r="R799" s="6"/>
      <c r="S799" s="6"/>
      <c r="T799" s="6"/>
      <c r="U799" s="6"/>
      <c r="V799" s="6"/>
      <c r="W799" s="6"/>
      <c r="X799" s="6"/>
      <c r="Y799" s="6"/>
      <c r="Z799" s="6"/>
      <c r="AA799" s="6"/>
      <c r="AB799" s="6"/>
    </row>
    <row r="800" ht="16.5" customHeight="1">
      <c r="A800" s="6"/>
      <c r="B800" s="6"/>
      <c r="C800" s="6"/>
      <c r="D800" s="6"/>
      <c r="E800" s="6"/>
      <c r="F800" s="6"/>
      <c r="G800" s="6"/>
      <c r="H800" s="93"/>
      <c r="I800" s="93"/>
      <c r="J800" s="93"/>
      <c r="K800" s="93"/>
      <c r="L800" s="93"/>
      <c r="M800" s="6"/>
      <c r="N800" s="6"/>
      <c r="O800" s="6"/>
      <c r="P800" s="6"/>
      <c r="Q800" s="6"/>
      <c r="R800" s="6"/>
      <c r="S800" s="6"/>
      <c r="T800" s="6"/>
      <c r="U800" s="6"/>
      <c r="V800" s="6"/>
      <c r="W800" s="6"/>
      <c r="X800" s="6"/>
      <c r="Y800" s="6"/>
      <c r="Z800" s="6"/>
      <c r="AA800" s="6"/>
      <c r="AB800" s="6"/>
    </row>
    <row r="801" ht="16.5" customHeight="1">
      <c r="A801" s="6"/>
      <c r="B801" s="6"/>
      <c r="C801" s="6"/>
      <c r="D801" s="6"/>
      <c r="E801" s="6"/>
      <c r="F801" s="6"/>
      <c r="G801" s="6"/>
      <c r="H801" s="93"/>
      <c r="I801" s="93"/>
      <c r="J801" s="93"/>
      <c r="K801" s="93"/>
      <c r="L801" s="93"/>
      <c r="M801" s="6"/>
      <c r="N801" s="6"/>
      <c r="O801" s="6"/>
      <c r="P801" s="6"/>
      <c r="Q801" s="6"/>
      <c r="R801" s="6"/>
      <c r="S801" s="6"/>
      <c r="T801" s="6"/>
      <c r="U801" s="6"/>
      <c r="V801" s="6"/>
      <c r="W801" s="6"/>
      <c r="X801" s="6"/>
      <c r="Y801" s="6"/>
      <c r="Z801" s="6"/>
      <c r="AA801" s="6"/>
      <c r="AB801" s="6"/>
    </row>
    <row r="802" ht="16.5" customHeight="1">
      <c r="A802" s="6"/>
      <c r="B802" s="6"/>
      <c r="C802" s="6"/>
      <c r="D802" s="6"/>
      <c r="E802" s="6"/>
      <c r="F802" s="6"/>
      <c r="G802" s="6"/>
      <c r="H802" s="93"/>
      <c r="I802" s="93"/>
      <c r="J802" s="93"/>
      <c r="K802" s="93"/>
      <c r="L802" s="93"/>
      <c r="M802" s="6"/>
      <c r="N802" s="6"/>
      <c r="O802" s="6"/>
      <c r="P802" s="6"/>
      <c r="Q802" s="6"/>
      <c r="R802" s="6"/>
      <c r="S802" s="6"/>
      <c r="T802" s="6"/>
      <c r="U802" s="6"/>
      <c r="V802" s="6"/>
      <c r="W802" s="6"/>
      <c r="X802" s="6"/>
      <c r="Y802" s="6"/>
      <c r="Z802" s="6"/>
      <c r="AA802" s="6"/>
      <c r="AB802" s="6"/>
    </row>
    <row r="803" ht="16.5" customHeight="1">
      <c r="A803" s="6"/>
      <c r="B803" s="6"/>
      <c r="C803" s="6"/>
      <c r="D803" s="6"/>
      <c r="E803" s="6"/>
      <c r="F803" s="6"/>
      <c r="G803" s="6"/>
      <c r="H803" s="93"/>
      <c r="I803" s="93"/>
      <c r="J803" s="93"/>
      <c r="K803" s="93"/>
      <c r="L803" s="93"/>
      <c r="M803" s="6"/>
      <c r="N803" s="6"/>
      <c r="O803" s="6"/>
      <c r="P803" s="6"/>
      <c r="Q803" s="6"/>
      <c r="R803" s="6"/>
      <c r="S803" s="6"/>
      <c r="T803" s="6"/>
      <c r="U803" s="6"/>
      <c r="V803" s="6"/>
      <c r="W803" s="6"/>
      <c r="X803" s="6"/>
      <c r="Y803" s="6"/>
      <c r="Z803" s="6"/>
      <c r="AA803" s="6"/>
      <c r="AB803" s="6"/>
    </row>
    <row r="804" ht="16.5" customHeight="1">
      <c r="A804" s="6"/>
      <c r="B804" s="6"/>
      <c r="C804" s="6"/>
      <c r="D804" s="6"/>
      <c r="E804" s="6"/>
      <c r="F804" s="6"/>
      <c r="G804" s="6"/>
      <c r="H804" s="93"/>
      <c r="I804" s="93"/>
      <c r="J804" s="93"/>
      <c r="K804" s="93"/>
      <c r="L804" s="93"/>
      <c r="M804" s="6"/>
      <c r="N804" s="6"/>
      <c r="O804" s="6"/>
      <c r="P804" s="6"/>
      <c r="Q804" s="6"/>
      <c r="R804" s="6"/>
      <c r="S804" s="6"/>
      <c r="T804" s="6"/>
      <c r="U804" s="6"/>
      <c r="V804" s="6"/>
      <c r="W804" s="6"/>
      <c r="X804" s="6"/>
      <c r="Y804" s="6"/>
      <c r="Z804" s="6"/>
      <c r="AA804" s="6"/>
      <c r="AB804" s="6"/>
    </row>
    <row r="805" ht="16.5" customHeight="1">
      <c r="A805" s="6"/>
      <c r="B805" s="6"/>
      <c r="C805" s="6"/>
      <c r="D805" s="6"/>
      <c r="E805" s="6"/>
      <c r="F805" s="6"/>
      <c r="G805" s="6"/>
      <c r="H805" s="93"/>
      <c r="I805" s="93"/>
      <c r="J805" s="93"/>
      <c r="K805" s="93"/>
      <c r="L805" s="93"/>
      <c r="M805" s="6"/>
      <c r="N805" s="6"/>
      <c r="O805" s="6"/>
      <c r="P805" s="6"/>
      <c r="Q805" s="6"/>
      <c r="R805" s="6"/>
      <c r="S805" s="6"/>
      <c r="T805" s="6"/>
      <c r="U805" s="6"/>
      <c r="V805" s="6"/>
      <c r="W805" s="6"/>
      <c r="X805" s="6"/>
      <c r="Y805" s="6"/>
      <c r="Z805" s="6"/>
      <c r="AA805" s="6"/>
      <c r="AB805" s="6"/>
    </row>
    <row r="806" ht="16.5" customHeight="1">
      <c r="A806" s="6"/>
      <c r="B806" s="6"/>
      <c r="C806" s="6"/>
      <c r="D806" s="6"/>
      <c r="E806" s="6"/>
      <c r="F806" s="6"/>
      <c r="G806" s="6"/>
      <c r="H806" s="93"/>
      <c r="I806" s="93"/>
      <c r="J806" s="93"/>
      <c r="K806" s="93"/>
      <c r="L806" s="93"/>
      <c r="M806" s="6"/>
      <c r="N806" s="6"/>
      <c r="O806" s="6"/>
      <c r="P806" s="6"/>
      <c r="Q806" s="6"/>
      <c r="R806" s="6"/>
      <c r="S806" s="6"/>
      <c r="T806" s="6"/>
      <c r="U806" s="6"/>
      <c r="V806" s="6"/>
      <c r="W806" s="6"/>
      <c r="X806" s="6"/>
      <c r="Y806" s="6"/>
      <c r="Z806" s="6"/>
      <c r="AA806" s="6"/>
      <c r="AB806" s="6"/>
    </row>
    <row r="807" ht="16.5" customHeight="1">
      <c r="A807" s="6"/>
      <c r="B807" s="6"/>
      <c r="C807" s="6"/>
      <c r="D807" s="6"/>
      <c r="E807" s="6"/>
      <c r="F807" s="6"/>
      <c r="G807" s="6"/>
      <c r="H807" s="93"/>
      <c r="I807" s="93"/>
      <c r="J807" s="93"/>
      <c r="K807" s="93"/>
      <c r="L807" s="93"/>
      <c r="M807" s="6"/>
      <c r="N807" s="6"/>
      <c r="O807" s="6"/>
      <c r="P807" s="6"/>
      <c r="Q807" s="6"/>
      <c r="R807" s="6"/>
      <c r="S807" s="6"/>
      <c r="T807" s="6"/>
      <c r="U807" s="6"/>
      <c r="V807" s="6"/>
      <c r="W807" s="6"/>
      <c r="X807" s="6"/>
      <c r="Y807" s="6"/>
      <c r="Z807" s="6"/>
      <c r="AA807" s="6"/>
      <c r="AB807" s="6"/>
    </row>
    <row r="808" ht="16.5" customHeight="1">
      <c r="A808" s="6"/>
      <c r="B808" s="6"/>
      <c r="C808" s="6"/>
      <c r="D808" s="6"/>
      <c r="E808" s="6"/>
      <c r="F808" s="6"/>
      <c r="G808" s="6"/>
      <c r="H808" s="93"/>
      <c r="I808" s="93"/>
      <c r="J808" s="93"/>
      <c r="K808" s="93"/>
      <c r="L808" s="93"/>
      <c r="M808" s="6"/>
      <c r="N808" s="6"/>
      <c r="O808" s="6"/>
      <c r="P808" s="6"/>
      <c r="Q808" s="6"/>
      <c r="R808" s="6"/>
      <c r="S808" s="6"/>
      <c r="T808" s="6"/>
      <c r="U808" s="6"/>
      <c r="V808" s="6"/>
      <c r="W808" s="6"/>
      <c r="X808" s="6"/>
      <c r="Y808" s="6"/>
      <c r="Z808" s="6"/>
      <c r="AA808" s="6"/>
      <c r="AB808" s="6"/>
    </row>
    <row r="809" ht="16.5" customHeight="1">
      <c r="A809" s="6"/>
      <c r="B809" s="6"/>
      <c r="C809" s="6"/>
      <c r="D809" s="6"/>
      <c r="E809" s="6"/>
      <c r="F809" s="6"/>
      <c r="G809" s="6"/>
      <c r="H809" s="93"/>
      <c r="I809" s="93"/>
      <c r="J809" s="93"/>
      <c r="K809" s="93"/>
      <c r="L809" s="93"/>
      <c r="M809" s="6"/>
      <c r="N809" s="6"/>
      <c r="O809" s="6"/>
      <c r="P809" s="6"/>
      <c r="Q809" s="6"/>
      <c r="R809" s="6"/>
      <c r="S809" s="6"/>
      <c r="T809" s="6"/>
      <c r="U809" s="6"/>
      <c r="V809" s="6"/>
      <c r="W809" s="6"/>
      <c r="X809" s="6"/>
      <c r="Y809" s="6"/>
      <c r="Z809" s="6"/>
      <c r="AA809" s="6"/>
      <c r="AB809" s="6"/>
    </row>
    <row r="810" ht="16.5" customHeight="1">
      <c r="A810" s="6"/>
      <c r="B810" s="6"/>
      <c r="C810" s="6"/>
      <c r="D810" s="6"/>
      <c r="E810" s="6"/>
      <c r="F810" s="6"/>
      <c r="G810" s="6"/>
      <c r="H810" s="93"/>
      <c r="I810" s="93"/>
      <c r="J810" s="93"/>
      <c r="K810" s="93"/>
      <c r="L810" s="93"/>
      <c r="M810" s="6"/>
      <c r="N810" s="6"/>
      <c r="O810" s="6"/>
      <c r="P810" s="6"/>
      <c r="Q810" s="6"/>
      <c r="R810" s="6"/>
      <c r="S810" s="6"/>
      <c r="T810" s="6"/>
      <c r="U810" s="6"/>
      <c r="V810" s="6"/>
      <c r="W810" s="6"/>
      <c r="X810" s="6"/>
      <c r="Y810" s="6"/>
      <c r="Z810" s="6"/>
      <c r="AA810" s="6"/>
      <c r="AB810" s="6"/>
    </row>
    <row r="811" ht="16.5" customHeight="1">
      <c r="A811" s="6"/>
      <c r="B811" s="6"/>
      <c r="C811" s="6"/>
      <c r="D811" s="6"/>
      <c r="E811" s="6"/>
      <c r="F811" s="6"/>
      <c r="G811" s="6"/>
      <c r="H811" s="93"/>
      <c r="I811" s="93"/>
      <c r="J811" s="93"/>
      <c r="K811" s="93"/>
      <c r="L811" s="93"/>
      <c r="M811" s="6"/>
      <c r="N811" s="6"/>
      <c r="O811" s="6"/>
      <c r="P811" s="6"/>
      <c r="Q811" s="6"/>
      <c r="R811" s="6"/>
      <c r="S811" s="6"/>
      <c r="T811" s="6"/>
      <c r="U811" s="6"/>
      <c r="V811" s="6"/>
      <c r="W811" s="6"/>
      <c r="X811" s="6"/>
      <c r="Y811" s="6"/>
      <c r="Z811" s="6"/>
      <c r="AA811" s="6"/>
      <c r="AB811" s="6"/>
    </row>
    <row r="812" ht="16.5" customHeight="1">
      <c r="A812" s="6"/>
      <c r="B812" s="6"/>
      <c r="C812" s="6"/>
      <c r="D812" s="6"/>
      <c r="E812" s="6"/>
      <c r="F812" s="6"/>
      <c r="G812" s="6"/>
      <c r="H812" s="93"/>
      <c r="I812" s="93"/>
      <c r="J812" s="93"/>
      <c r="K812" s="93"/>
      <c r="L812" s="93"/>
      <c r="M812" s="6"/>
      <c r="N812" s="6"/>
      <c r="O812" s="6"/>
      <c r="P812" s="6"/>
      <c r="Q812" s="6"/>
      <c r="R812" s="6"/>
      <c r="S812" s="6"/>
      <c r="T812" s="6"/>
      <c r="U812" s="6"/>
      <c r="V812" s="6"/>
      <c r="W812" s="6"/>
      <c r="X812" s="6"/>
      <c r="Y812" s="6"/>
      <c r="Z812" s="6"/>
      <c r="AA812" s="6"/>
      <c r="AB812" s="6"/>
    </row>
    <row r="813" ht="16.5" customHeight="1">
      <c r="A813" s="6"/>
      <c r="B813" s="6"/>
      <c r="C813" s="6"/>
      <c r="D813" s="6"/>
      <c r="E813" s="6"/>
      <c r="F813" s="6"/>
      <c r="G813" s="6"/>
      <c r="H813" s="93"/>
      <c r="I813" s="93"/>
      <c r="J813" s="93"/>
      <c r="K813" s="93"/>
      <c r="L813" s="93"/>
      <c r="M813" s="6"/>
      <c r="N813" s="6"/>
      <c r="O813" s="6"/>
      <c r="P813" s="6"/>
      <c r="Q813" s="6"/>
      <c r="R813" s="6"/>
      <c r="S813" s="6"/>
      <c r="T813" s="6"/>
      <c r="U813" s="6"/>
      <c r="V813" s="6"/>
      <c r="W813" s="6"/>
      <c r="X813" s="6"/>
      <c r="Y813" s="6"/>
      <c r="Z813" s="6"/>
      <c r="AA813" s="6"/>
      <c r="AB813" s="6"/>
    </row>
    <row r="814" ht="16.5" customHeight="1">
      <c r="A814" s="6"/>
      <c r="B814" s="6"/>
      <c r="C814" s="6"/>
      <c r="D814" s="6"/>
      <c r="E814" s="6"/>
      <c r="F814" s="6"/>
      <c r="G814" s="6"/>
      <c r="H814" s="93"/>
      <c r="I814" s="93"/>
      <c r="J814" s="93"/>
      <c r="K814" s="93"/>
      <c r="L814" s="93"/>
      <c r="M814" s="6"/>
      <c r="N814" s="6"/>
      <c r="O814" s="6"/>
      <c r="P814" s="6"/>
      <c r="Q814" s="6"/>
      <c r="R814" s="6"/>
      <c r="S814" s="6"/>
      <c r="T814" s="6"/>
      <c r="U814" s="6"/>
      <c r="V814" s="6"/>
      <c r="W814" s="6"/>
      <c r="X814" s="6"/>
      <c r="Y814" s="6"/>
      <c r="Z814" s="6"/>
      <c r="AA814" s="6"/>
      <c r="AB814" s="6"/>
    </row>
    <row r="815" ht="16.5" customHeight="1">
      <c r="A815" s="6"/>
      <c r="B815" s="6"/>
      <c r="C815" s="6"/>
      <c r="D815" s="6"/>
      <c r="E815" s="6"/>
      <c r="F815" s="6"/>
      <c r="G815" s="6"/>
      <c r="H815" s="93"/>
      <c r="I815" s="93"/>
      <c r="J815" s="93"/>
      <c r="K815" s="93"/>
      <c r="L815" s="93"/>
      <c r="M815" s="6"/>
      <c r="N815" s="6"/>
      <c r="O815" s="6"/>
      <c r="P815" s="6"/>
      <c r="Q815" s="6"/>
      <c r="R815" s="6"/>
      <c r="S815" s="6"/>
      <c r="T815" s="6"/>
      <c r="U815" s="6"/>
      <c r="V815" s="6"/>
      <c r="W815" s="6"/>
      <c r="X815" s="6"/>
      <c r="Y815" s="6"/>
      <c r="Z815" s="6"/>
      <c r="AA815" s="6"/>
      <c r="AB815" s="6"/>
    </row>
    <row r="816" ht="16.5" customHeight="1">
      <c r="A816" s="6"/>
      <c r="B816" s="6"/>
      <c r="C816" s="6"/>
      <c r="D816" s="6"/>
      <c r="E816" s="6"/>
      <c r="F816" s="6"/>
      <c r="G816" s="6"/>
      <c r="H816" s="93"/>
      <c r="I816" s="93"/>
      <c r="J816" s="93"/>
      <c r="K816" s="93"/>
      <c r="L816" s="93"/>
      <c r="M816" s="6"/>
      <c r="N816" s="6"/>
      <c r="O816" s="6"/>
      <c r="P816" s="6"/>
      <c r="Q816" s="6"/>
      <c r="R816" s="6"/>
      <c r="S816" s="6"/>
      <c r="T816" s="6"/>
      <c r="U816" s="6"/>
      <c r="V816" s="6"/>
      <c r="W816" s="6"/>
      <c r="X816" s="6"/>
      <c r="Y816" s="6"/>
      <c r="Z816" s="6"/>
      <c r="AA816" s="6"/>
      <c r="AB816" s="6"/>
    </row>
    <row r="817" ht="16.5" customHeight="1">
      <c r="A817" s="6"/>
      <c r="B817" s="6"/>
      <c r="C817" s="6"/>
      <c r="D817" s="6"/>
      <c r="E817" s="6"/>
      <c r="F817" s="6"/>
      <c r="G817" s="6"/>
      <c r="H817" s="93"/>
      <c r="I817" s="93"/>
      <c r="J817" s="93"/>
      <c r="K817" s="93"/>
      <c r="L817" s="93"/>
      <c r="M817" s="6"/>
      <c r="N817" s="6"/>
      <c r="O817" s="6"/>
      <c r="P817" s="6"/>
      <c r="Q817" s="6"/>
      <c r="R817" s="6"/>
      <c r="S817" s="6"/>
      <c r="T817" s="6"/>
      <c r="U817" s="6"/>
      <c r="V817" s="6"/>
      <c r="W817" s="6"/>
      <c r="X817" s="6"/>
      <c r="Y817" s="6"/>
      <c r="Z817" s="6"/>
      <c r="AA817" s="6"/>
      <c r="AB817" s="6"/>
    </row>
    <row r="818" ht="16.5" customHeight="1">
      <c r="A818" s="6"/>
      <c r="B818" s="6"/>
      <c r="C818" s="6"/>
      <c r="D818" s="6"/>
      <c r="E818" s="6"/>
      <c r="F818" s="6"/>
      <c r="G818" s="6"/>
      <c r="H818" s="93"/>
      <c r="I818" s="93"/>
      <c r="J818" s="93"/>
      <c r="K818" s="93"/>
      <c r="L818" s="93"/>
      <c r="M818" s="6"/>
      <c r="N818" s="6"/>
      <c r="O818" s="6"/>
      <c r="P818" s="6"/>
      <c r="Q818" s="6"/>
      <c r="R818" s="6"/>
      <c r="S818" s="6"/>
      <c r="T818" s="6"/>
      <c r="U818" s="6"/>
      <c r="V818" s="6"/>
      <c r="W818" s="6"/>
      <c r="X818" s="6"/>
      <c r="Y818" s="6"/>
      <c r="Z818" s="6"/>
      <c r="AA818" s="6"/>
      <c r="AB818" s="6"/>
    </row>
    <row r="819" ht="16.5" customHeight="1">
      <c r="A819" s="6"/>
      <c r="B819" s="6"/>
      <c r="C819" s="6"/>
      <c r="D819" s="6"/>
      <c r="E819" s="6"/>
      <c r="F819" s="6"/>
      <c r="G819" s="6"/>
      <c r="H819" s="93"/>
      <c r="I819" s="93"/>
      <c r="J819" s="93"/>
      <c r="K819" s="93"/>
      <c r="L819" s="93"/>
      <c r="M819" s="6"/>
      <c r="N819" s="6"/>
      <c r="O819" s="6"/>
      <c r="P819" s="6"/>
      <c r="Q819" s="6"/>
      <c r="R819" s="6"/>
      <c r="S819" s="6"/>
      <c r="T819" s="6"/>
      <c r="U819" s="6"/>
      <c r="V819" s="6"/>
      <c r="W819" s="6"/>
      <c r="X819" s="6"/>
      <c r="Y819" s="6"/>
      <c r="Z819" s="6"/>
      <c r="AA819" s="6"/>
      <c r="AB819" s="6"/>
    </row>
    <row r="820" ht="16.5" customHeight="1">
      <c r="A820" s="6"/>
      <c r="B820" s="6"/>
      <c r="C820" s="6"/>
      <c r="D820" s="6"/>
      <c r="E820" s="6"/>
      <c r="F820" s="6"/>
      <c r="G820" s="6"/>
      <c r="H820" s="93"/>
      <c r="I820" s="93"/>
      <c r="J820" s="93"/>
      <c r="K820" s="93"/>
      <c r="L820" s="93"/>
      <c r="M820" s="6"/>
      <c r="N820" s="6"/>
      <c r="O820" s="6"/>
      <c r="P820" s="6"/>
      <c r="Q820" s="6"/>
      <c r="R820" s="6"/>
      <c r="S820" s="6"/>
      <c r="T820" s="6"/>
      <c r="U820" s="6"/>
      <c r="V820" s="6"/>
      <c r="W820" s="6"/>
      <c r="X820" s="6"/>
      <c r="Y820" s="6"/>
      <c r="Z820" s="6"/>
      <c r="AA820" s="6"/>
      <c r="AB820" s="6"/>
    </row>
    <row r="821" ht="16.5" customHeight="1">
      <c r="A821" s="6"/>
      <c r="B821" s="6"/>
      <c r="C821" s="6"/>
      <c r="D821" s="6"/>
      <c r="E821" s="6"/>
      <c r="F821" s="6"/>
      <c r="G821" s="6"/>
      <c r="H821" s="93"/>
      <c r="I821" s="93"/>
      <c r="J821" s="93"/>
      <c r="K821" s="93"/>
      <c r="L821" s="93"/>
      <c r="M821" s="6"/>
      <c r="N821" s="6"/>
      <c r="O821" s="6"/>
      <c r="P821" s="6"/>
      <c r="Q821" s="6"/>
      <c r="R821" s="6"/>
      <c r="S821" s="6"/>
      <c r="T821" s="6"/>
      <c r="U821" s="6"/>
      <c r="V821" s="6"/>
      <c r="W821" s="6"/>
      <c r="X821" s="6"/>
      <c r="Y821" s="6"/>
      <c r="Z821" s="6"/>
      <c r="AA821" s="6"/>
      <c r="AB821" s="6"/>
    </row>
    <row r="822" ht="16.5" customHeight="1">
      <c r="A822" s="6"/>
      <c r="B822" s="6"/>
      <c r="C822" s="6"/>
      <c r="D822" s="6"/>
      <c r="E822" s="6"/>
      <c r="F822" s="6"/>
      <c r="G822" s="6"/>
      <c r="H822" s="93"/>
      <c r="I822" s="93"/>
      <c r="J822" s="93"/>
      <c r="K822" s="93"/>
      <c r="L822" s="93"/>
      <c r="M822" s="6"/>
      <c r="N822" s="6"/>
      <c r="O822" s="6"/>
      <c r="P822" s="6"/>
      <c r="Q822" s="6"/>
      <c r="R822" s="6"/>
      <c r="S822" s="6"/>
      <c r="T822" s="6"/>
      <c r="U822" s="6"/>
      <c r="V822" s="6"/>
      <c r="W822" s="6"/>
      <c r="X822" s="6"/>
      <c r="Y822" s="6"/>
      <c r="Z822" s="6"/>
      <c r="AA822" s="6"/>
      <c r="AB822" s="6"/>
    </row>
    <row r="823" ht="16.5" customHeight="1">
      <c r="A823" s="6"/>
      <c r="B823" s="6"/>
      <c r="C823" s="6"/>
      <c r="D823" s="6"/>
      <c r="E823" s="6"/>
      <c r="F823" s="6"/>
      <c r="G823" s="6"/>
      <c r="H823" s="93"/>
      <c r="I823" s="93"/>
      <c r="J823" s="93"/>
      <c r="K823" s="93"/>
      <c r="L823" s="93"/>
      <c r="M823" s="6"/>
      <c r="N823" s="6"/>
      <c r="O823" s="6"/>
      <c r="P823" s="6"/>
      <c r="Q823" s="6"/>
      <c r="R823" s="6"/>
      <c r="S823" s="6"/>
      <c r="T823" s="6"/>
      <c r="U823" s="6"/>
      <c r="V823" s="6"/>
      <c r="W823" s="6"/>
      <c r="X823" s="6"/>
      <c r="Y823" s="6"/>
      <c r="Z823" s="6"/>
      <c r="AA823" s="6"/>
      <c r="AB823" s="6"/>
    </row>
    <row r="824" ht="16.5" customHeight="1">
      <c r="A824" s="6"/>
      <c r="B824" s="6"/>
      <c r="C824" s="6"/>
      <c r="D824" s="6"/>
      <c r="E824" s="6"/>
      <c r="F824" s="6"/>
      <c r="G824" s="6"/>
      <c r="H824" s="93"/>
      <c r="I824" s="93"/>
      <c r="J824" s="93"/>
      <c r="K824" s="93"/>
      <c r="L824" s="93"/>
      <c r="M824" s="6"/>
      <c r="N824" s="6"/>
      <c r="O824" s="6"/>
      <c r="P824" s="6"/>
      <c r="Q824" s="6"/>
      <c r="R824" s="6"/>
      <c r="S824" s="6"/>
      <c r="T824" s="6"/>
      <c r="U824" s="6"/>
      <c r="V824" s="6"/>
      <c r="W824" s="6"/>
      <c r="X824" s="6"/>
      <c r="Y824" s="6"/>
      <c r="Z824" s="6"/>
      <c r="AA824" s="6"/>
      <c r="AB824" s="6"/>
    </row>
    <row r="825" ht="16.5" customHeight="1">
      <c r="A825" s="6"/>
      <c r="B825" s="6"/>
      <c r="C825" s="6"/>
      <c r="D825" s="6"/>
      <c r="E825" s="6"/>
      <c r="F825" s="6"/>
      <c r="G825" s="6"/>
      <c r="H825" s="93"/>
      <c r="I825" s="93"/>
      <c r="J825" s="93"/>
      <c r="K825" s="93"/>
      <c r="L825" s="93"/>
      <c r="M825" s="6"/>
      <c r="N825" s="6"/>
      <c r="O825" s="6"/>
      <c r="P825" s="6"/>
      <c r="Q825" s="6"/>
      <c r="R825" s="6"/>
      <c r="S825" s="6"/>
      <c r="T825" s="6"/>
      <c r="U825" s="6"/>
      <c r="V825" s="6"/>
      <c r="W825" s="6"/>
      <c r="X825" s="6"/>
      <c r="Y825" s="6"/>
      <c r="Z825" s="6"/>
      <c r="AA825" s="6"/>
      <c r="AB825" s="6"/>
    </row>
    <row r="826" ht="16.5" customHeight="1">
      <c r="A826" s="6"/>
      <c r="B826" s="6"/>
      <c r="C826" s="6"/>
      <c r="D826" s="6"/>
      <c r="E826" s="6"/>
      <c r="F826" s="6"/>
      <c r="G826" s="6"/>
      <c r="H826" s="93"/>
      <c r="I826" s="93"/>
      <c r="J826" s="93"/>
      <c r="K826" s="93"/>
      <c r="L826" s="93"/>
      <c r="M826" s="6"/>
      <c r="N826" s="6"/>
      <c r="O826" s="6"/>
      <c r="P826" s="6"/>
      <c r="Q826" s="6"/>
      <c r="R826" s="6"/>
      <c r="S826" s="6"/>
      <c r="T826" s="6"/>
      <c r="U826" s="6"/>
      <c r="V826" s="6"/>
      <c r="W826" s="6"/>
      <c r="X826" s="6"/>
      <c r="Y826" s="6"/>
      <c r="Z826" s="6"/>
      <c r="AA826" s="6"/>
      <c r="AB826" s="6"/>
    </row>
    <row r="827" ht="16.5" customHeight="1">
      <c r="A827" s="6"/>
      <c r="B827" s="6"/>
      <c r="C827" s="6"/>
      <c r="D827" s="6"/>
      <c r="E827" s="6"/>
      <c r="F827" s="6"/>
      <c r="G827" s="6"/>
      <c r="H827" s="93"/>
      <c r="I827" s="93"/>
      <c r="J827" s="93"/>
      <c r="K827" s="93"/>
      <c r="L827" s="93"/>
      <c r="M827" s="6"/>
      <c r="N827" s="6"/>
      <c r="O827" s="6"/>
      <c r="P827" s="6"/>
      <c r="Q827" s="6"/>
      <c r="R827" s="6"/>
      <c r="S827" s="6"/>
      <c r="T827" s="6"/>
      <c r="U827" s="6"/>
      <c r="V827" s="6"/>
      <c r="W827" s="6"/>
      <c r="X827" s="6"/>
      <c r="Y827" s="6"/>
      <c r="Z827" s="6"/>
      <c r="AA827" s="6"/>
      <c r="AB827" s="6"/>
    </row>
    <row r="828" ht="16.5" customHeight="1">
      <c r="A828" s="6"/>
      <c r="B828" s="6"/>
      <c r="C828" s="6"/>
      <c r="D828" s="6"/>
      <c r="E828" s="6"/>
      <c r="F828" s="6"/>
      <c r="G828" s="6"/>
      <c r="H828" s="93"/>
      <c r="I828" s="93"/>
      <c r="J828" s="93"/>
      <c r="K828" s="93"/>
      <c r="L828" s="93"/>
      <c r="M828" s="6"/>
      <c r="N828" s="6"/>
      <c r="O828" s="6"/>
      <c r="P828" s="6"/>
      <c r="Q828" s="6"/>
      <c r="R828" s="6"/>
      <c r="S828" s="6"/>
      <c r="T828" s="6"/>
      <c r="U828" s="6"/>
      <c r="V828" s="6"/>
      <c r="W828" s="6"/>
      <c r="X828" s="6"/>
      <c r="Y828" s="6"/>
      <c r="Z828" s="6"/>
      <c r="AA828" s="6"/>
      <c r="AB828" s="6"/>
    </row>
    <row r="829" ht="16.5" customHeight="1">
      <c r="A829" s="6"/>
      <c r="B829" s="6"/>
      <c r="C829" s="6"/>
      <c r="D829" s="6"/>
      <c r="E829" s="6"/>
      <c r="F829" s="6"/>
      <c r="G829" s="6"/>
      <c r="H829" s="93"/>
      <c r="I829" s="93"/>
      <c r="J829" s="93"/>
      <c r="K829" s="93"/>
      <c r="L829" s="93"/>
      <c r="M829" s="6"/>
      <c r="N829" s="6"/>
      <c r="O829" s="6"/>
      <c r="P829" s="6"/>
      <c r="Q829" s="6"/>
      <c r="R829" s="6"/>
      <c r="S829" s="6"/>
      <c r="T829" s="6"/>
      <c r="U829" s="6"/>
      <c r="V829" s="6"/>
      <c r="W829" s="6"/>
      <c r="X829" s="6"/>
      <c r="Y829" s="6"/>
      <c r="Z829" s="6"/>
      <c r="AA829" s="6"/>
      <c r="AB829" s="6"/>
    </row>
    <row r="830" ht="16.5" customHeight="1">
      <c r="A830" s="6"/>
      <c r="B830" s="6"/>
      <c r="C830" s="6"/>
      <c r="D830" s="6"/>
      <c r="E830" s="6"/>
      <c r="F830" s="6"/>
      <c r="G830" s="6"/>
      <c r="H830" s="93"/>
      <c r="I830" s="93"/>
      <c r="J830" s="93"/>
      <c r="K830" s="93"/>
      <c r="L830" s="93"/>
      <c r="M830" s="6"/>
      <c r="N830" s="6"/>
      <c r="O830" s="6"/>
      <c r="P830" s="6"/>
      <c r="Q830" s="6"/>
      <c r="R830" s="6"/>
      <c r="S830" s="6"/>
      <c r="T830" s="6"/>
      <c r="U830" s="6"/>
      <c r="V830" s="6"/>
      <c r="W830" s="6"/>
      <c r="X830" s="6"/>
      <c r="Y830" s="6"/>
      <c r="Z830" s="6"/>
      <c r="AA830" s="6"/>
      <c r="AB830" s="6"/>
    </row>
    <row r="831" ht="16.5" customHeight="1">
      <c r="A831" s="6"/>
      <c r="B831" s="6"/>
      <c r="C831" s="6"/>
      <c r="D831" s="6"/>
      <c r="E831" s="6"/>
      <c r="F831" s="6"/>
      <c r="G831" s="6"/>
      <c r="H831" s="93"/>
      <c r="I831" s="93"/>
      <c r="J831" s="93"/>
      <c r="K831" s="93"/>
      <c r="L831" s="93"/>
      <c r="M831" s="6"/>
      <c r="N831" s="6"/>
      <c r="O831" s="6"/>
      <c r="P831" s="6"/>
      <c r="Q831" s="6"/>
      <c r="R831" s="6"/>
      <c r="S831" s="6"/>
      <c r="T831" s="6"/>
      <c r="U831" s="6"/>
      <c r="V831" s="6"/>
      <c r="W831" s="6"/>
      <c r="X831" s="6"/>
      <c r="Y831" s="6"/>
      <c r="Z831" s="6"/>
      <c r="AA831" s="6"/>
      <c r="AB831" s="6"/>
    </row>
    <row r="832" ht="16.5" customHeight="1">
      <c r="A832" s="6"/>
      <c r="B832" s="6"/>
      <c r="C832" s="6"/>
      <c r="D832" s="6"/>
      <c r="E832" s="6"/>
      <c r="F832" s="6"/>
      <c r="G832" s="6"/>
      <c r="H832" s="93"/>
      <c r="I832" s="93"/>
      <c r="J832" s="93"/>
      <c r="K832" s="93"/>
      <c r="L832" s="93"/>
      <c r="M832" s="6"/>
      <c r="N832" s="6"/>
      <c r="O832" s="6"/>
      <c r="P832" s="6"/>
      <c r="Q832" s="6"/>
      <c r="R832" s="6"/>
      <c r="S832" s="6"/>
      <c r="T832" s="6"/>
      <c r="U832" s="6"/>
      <c r="V832" s="6"/>
      <c r="W832" s="6"/>
      <c r="X832" s="6"/>
      <c r="Y832" s="6"/>
      <c r="Z832" s="6"/>
      <c r="AA832" s="6"/>
      <c r="AB832" s="6"/>
    </row>
    <row r="833" ht="16.5" customHeight="1">
      <c r="A833" s="6"/>
      <c r="B833" s="6"/>
      <c r="C833" s="6"/>
      <c r="D833" s="6"/>
      <c r="E833" s="6"/>
      <c r="F833" s="6"/>
      <c r="G833" s="6"/>
      <c r="H833" s="93"/>
      <c r="I833" s="93"/>
      <c r="J833" s="93"/>
      <c r="K833" s="93"/>
      <c r="L833" s="93"/>
      <c r="M833" s="6"/>
      <c r="N833" s="6"/>
      <c r="O833" s="6"/>
      <c r="P833" s="6"/>
      <c r="Q833" s="6"/>
      <c r="R833" s="6"/>
      <c r="S833" s="6"/>
      <c r="T833" s="6"/>
      <c r="U833" s="6"/>
      <c r="V833" s="6"/>
      <c r="W833" s="6"/>
      <c r="X833" s="6"/>
      <c r="Y833" s="6"/>
      <c r="Z833" s="6"/>
      <c r="AA833" s="6"/>
      <c r="AB833" s="6"/>
    </row>
    <row r="834" ht="16.5" customHeight="1">
      <c r="A834" s="6"/>
      <c r="B834" s="6"/>
      <c r="C834" s="6"/>
      <c r="D834" s="6"/>
      <c r="E834" s="6"/>
      <c r="F834" s="6"/>
      <c r="G834" s="6"/>
      <c r="H834" s="93"/>
      <c r="I834" s="93"/>
      <c r="J834" s="93"/>
      <c r="K834" s="93"/>
      <c r="L834" s="93"/>
      <c r="M834" s="6"/>
      <c r="N834" s="6"/>
      <c r="O834" s="6"/>
      <c r="P834" s="6"/>
      <c r="Q834" s="6"/>
      <c r="R834" s="6"/>
      <c r="S834" s="6"/>
      <c r="T834" s="6"/>
      <c r="U834" s="6"/>
      <c r="V834" s="6"/>
      <c r="W834" s="6"/>
      <c r="X834" s="6"/>
      <c r="Y834" s="6"/>
      <c r="Z834" s="6"/>
      <c r="AA834" s="6"/>
      <c r="AB834" s="6"/>
    </row>
    <row r="835" ht="16.5" customHeight="1">
      <c r="A835" s="6"/>
      <c r="B835" s="6"/>
      <c r="C835" s="6"/>
      <c r="D835" s="6"/>
      <c r="E835" s="6"/>
      <c r="F835" s="6"/>
      <c r="G835" s="6"/>
      <c r="H835" s="93"/>
      <c r="I835" s="93"/>
      <c r="J835" s="93"/>
      <c r="K835" s="93"/>
      <c r="L835" s="93"/>
      <c r="M835" s="6"/>
      <c r="N835" s="6"/>
      <c r="O835" s="6"/>
      <c r="P835" s="6"/>
      <c r="Q835" s="6"/>
      <c r="R835" s="6"/>
      <c r="S835" s="6"/>
      <c r="T835" s="6"/>
      <c r="U835" s="6"/>
      <c r="V835" s="6"/>
      <c r="W835" s="6"/>
      <c r="X835" s="6"/>
      <c r="Y835" s="6"/>
      <c r="Z835" s="6"/>
      <c r="AA835" s="6"/>
      <c r="AB835" s="6"/>
    </row>
    <row r="836" ht="16.5" customHeight="1">
      <c r="A836" s="6"/>
      <c r="B836" s="6"/>
      <c r="C836" s="6"/>
      <c r="D836" s="6"/>
      <c r="E836" s="6"/>
      <c r="F836" s="6"/>
      <c r="G836" s="6"/>
      <c r="H836" s="93"/>
      <c r="I836" s="93"/>
      <c r="J836" s="93"/>
      <c r="K836" s="93"/>
      <c r="L836" s="93"/>
      <c r="M836" s="6"/>
      <c r="N836" s="6"/>
      <c r="O836" s="6"/>
      <c r="P836" s="6"/>
      <c r="Q836" s="6"/>
      <c r="R836" s="6"/>
      <c r="S836" s="6"/>
      <c r="T836" s="6"/>
      <c r="U836" s="6"/>
      <c r="V836" s="6"/>
      <c r="W836" s="6"/>
      <c r="X836" s="6"/>
      <c r="Y836" s="6"/>
      <c r="Z836" s="6"/>
      <c r="AA836" s="6"/>
      <c r="AB836" s="6"/>
    </row>
    <row r="837" ht="16.5" customHeight="1">
      <c r="A837" s="6"/>
      <c r="B837" s="6"/>
      <c r="C837" s="6"/>
      <c r="D837" s="6"/>
      <c r="E837" s="6"/>
      <c r="F837" s="6"/>
      <c r="G837" s="6"/>
      <c r="H837" s="93"/>
      <c r="I837" s="93"/>
      <c r="J837" s="93"/>
      <c r="K837" s="93"/>
      <c r="L837" s="93"/>
      <c r="M837" s="6"/>
      <c r="N837" s="6"/>
      <c r="O837" s="6"/>
      <c r="P837" s="6"/>
      <c r="Q837" s="6"/>
      <c r="R837" s="6"/>
      <c r="S837" s="6"/>
      <c r="T837" s="6"/>
      <c r="U837" s="6"/>
      <c r="V837" s="6"/>
      <c r="W837" s="6"/>
      <c r="X837" s="6"/>
      <c r="Y837" s="6"/>
      <c r="Z837" s="6"/>
      <c r="AA837" s="6"/>
      <c r="AB837" s="6"/>
    </row>
    <row r="838" ht="16.5" customHeight="1">
      <c r="A838" s="6"/>
      <c r="B838" s="6"/>
      <c r="C838" s="6"/>
      <c r="D838" s="6"/>
      <c r="E838" s="6"/>
      <c r="F838" s="6"/>
      <c r="G838" s="6"/>
      <c r="H838" s="93"/>
      <c r="I838" s="93"/>
      <c r="J838" s="93"/>
      <c r="K838" s="93"/>
      <c r="L838" s="93"/>
      <c r="M838" s="6"/>
      <c r="N838" s="6"/>
      <c r="O838" s="6"/>
      <c r="P838" s="6"/>
      <c r="Q838" s="6"/>
      <c r="R838" s="6"/>
      <c r="S838" s="6"/>
      <c r="T838" s="6"/>
      <c r="U838" s="6"/>
      <c r="V838" s="6"/>
      <c r="W838" s="6"/>
      <c r="X838" s="6"/>
      <c r="Y838" s="6"/>
      <c r="Z838" s="6"/>
      <c r="AA838" s="6"/>
      <c r="AB838" s="6"/>
    </row>
    <row r="839" ht="16.5" customHeight="1">
      <c r="A839" s="6"/>
      <c r="B839" s="6"/>
      <c r="C839" s="6"/>
      <c r="D839" s="6"/>
      <c r="E839" s="6"/>
      <c r="F839" s="6"/>
      <c r="G839" s="6"/>
      <c r="H839" s="93"/>
      <c r="I839" s="93"/>
      <c r="J839" s="93"/>
      <c r="K839" s="93"/>
      <c r="L839" s="93"/>
      <c r="M839" s="6"/>
      <c r="N839" s="6"/>
      <c r="O839" s="6"/>
      <c r="P839" s="6"/>
      <c r="Q839" s="6"/>
      <c r="R839" s="6"/>
      <c r="S839" s="6"/>
      <c r="T839" s="6"/>
      <c r="U839" s="6"/>
      <c r="V839" s="6"/>
      <c r="W839" s="6"/>
      <c r="X839" s="6"/>
      <c r="Y839" s="6"/>
      <c r="Z839" s="6"/>
      <c r="AA839" s="6"/>
      <c r="AB839" s="6"/>
    </row>
    <row r="840" ht="16.5" customHeight="1">
      <c r="A840" s="6"/>
      <c r="B840" s="6"/>
      <c r="C840" s="6"/>
      <c r="D840" s="6"/>
      <c r="E840" s="6"/>
      <c r="F840" s="6"/>
      <c r="G840" s="6"/>
      <c r="H840" s="93"/>
      <c r="I840" s="93"/>
      <c r="J840" s="93"/>
      <c r="K840" s="93"/>
      <c r="L840" s="93"/>
      <c r="M840" s="6"/>
      <c r="N840" s="6"/>
      <c r="O840" s="6"/>
      <c r="P840" s="6"/>
      <c r="Q840" s="6"/>
      <c r="R840" s="6"/>
      <c r="S840" s="6"/>
      <c r="T840" s="6"/>
      <c r="U840" s="6"/>
      <c r="V840" s="6"/>
      <c r="W840" s="6"/>
      <c r="X840" s="6"/>
      <c r="Y840" s="6"/>
      <c r="Z840" s="6"/>
      <c r="AA840" s="6"/>
      <c r="AB840" s="6"/>
    </row>
    <row r="841" ht="16.5" customHeight="1">
      <c r="A841" s="6"/>
      <c r="B841" s="6"/>
      <c r="C841" s="6"/>
      <c r="D841" s="6"/>
      <c r="E841" s="6"/>
      <c r="F841" s="6"/>
      <c r="G841" s="6"/>
      <c r="H841" s="93"/>
      <c r="I841" s="93"/>
      <c r="J841" s="93"/>
      <c r="K841" s="93"/>
      <c r="L841" s="93"/>
      <c r="M841" s="6"/>
      <c r="N841" s="6"/>
      <c r="O841" s="6"/>
      <c r="P841" s="6"/>
      <c r="Q841" s="6"/>
      <c r="R841" s="6"/>
      <c r="S841" s="6"/>
      <c r="T841" s="6"/>
      <c r="U841" s="6"/>
      <c r="V841" s="6"/>
      <c r="W841" s="6"/>
      <c r="X841" s="6"/>
      <c r="Y841" s="6"/>
      <c r="Z841" s="6"/>
      <c r="AA841" s="6"/>
      <c r="AB841" s="6"/>
    </row>
    <row r="842" ht="16.5" customHeight="1">
      <c r="A842" s="6"/>
      <c r="B842" s="6"/>
      <c r="C842" s="6"/>
      <c r="D842" s="6"/>
      <c r="E842" s="6"/>
      <c r="F842" s="6"/>
      <c r="G842" s="6"/>
      <c r="H842" s="93"/>
      <c r="I842" s="93"/>
      <c r="J842" s="93"/>
      <c r="K842" s="93"/>
      <c r="L842" s="93"/>
      <c r="M842" s="6"/>
      <c r="N842" s="6"/>
      <c r="O842" s="6"/>
      <c r="P842" s="6"/>
      <c r="Q842" s="6"/>
      <c r="R842" s="6"/>
      <c r="S842" s="6"/>
      <c r="T842" s="6"/>
      <c r="U842" s="6"/>
      <c r="V842" s="6"/>
      <c r="W842" s="6"/>
      <c r="X842" s="6"/>
      <c r="Y842" s="6"/>
      <c r="Z842" s="6"/>
      <c r="AA842" s="6"/>
      <c r="AB842" s="6"/>
    </row>
    <row r="843" ht="16.5" customHeight="1">
      <c r="A843" s="6"/>
      <c r="B843" s="6"/>
      <c r="C843" s="6"/>
      <c r="D843" s="6"/>
      <c r="E843" s="6"/>
      <c r="F843" s="6"/>
      <c r="G843" s="6"/>
      <c r="H843" s="93"/>
      <c r="I843" s="93"/>
      <c r="J843" s="93"/>
      <c r="K843" s="93"/>
      <c r="L843" s="93"/>
      <c r="M843" s="6"/>
      <c r="N843" s="6"/>
      <c r="O843" s="6"/>
      <c r="P843" s="6"/>
      <c r="Q843" s="6"/>
      <c r="R843" s="6"/>
      <c r="S843" s="6"/>
      <c r="T843" s="6"/>
      <c r="U843" s="6"/>
      <c r="V843" s="6"/>
      <c r="W843" s="6"/>
      <c r="X843" s="6"/>
      <c r="Y843" s="6"/>
      <c r="Z843" s="6"/>
      <c r="AA843" s="6"/>
      <c r="AB843" s="6"/>
    </row>
    <row r="844" ht="16.5" customHeight="1">
      <c r="A844" s="6"/>
      <c r="B844" s="6"/>
      <c r="C844" s="6"/>
      <c r="D844" s="6"/>
      <c r="E844" s="6"/>
      <c r="F844" s="6"/>
      <c r="G844" s="6"/>
      <c r="H844" s="93"/>
      <c r="I844" s="93"/>
      <c r="J844" s="93"/>
      <c r="K844" s="93"/>
      <c r="L844" s="93"/>
      <c r="M844" s="6"/>
      <c r="N844" s="6"/>
      <c r="O844" s="6"/>
      <c r="P844" s="6"/>
      <c r="Q844" s="6"/>
      <c r="R844" s="6"/>
      <c r="S844" s="6"/>
      <c r="T844" s="6"/>
      <c r="U844" s="6"/>
      <c r="V844" s="6"/>
      <c r="W844" s="6"/>
      <c r="X844" s="6"/>
      <c r="Y844" s="6"/>
      <c r="Z844" s="6"/>
      <c r="AA844" s="6"/>
      <c r="AB844" s="6"/>
    </row>
    <row r="845" ht="16.5" customHeight="1">
      <c r="A845" s="6"/>
      <c r="B845" s="6"/>
      <c r="C845" s="6"/>
      <c r="D845" s="6"/>
      <c r="E845" s="6"/>
      <c r="F845" s="6"/>
      <c r="G845" s="6"/>
      <c r="H845" s="93"/>
      <c r="I845" s="93"/>
      <c r="J845" s="93"/>
      <c r="K845" s="93"/>
      <c r="L845" s="93"/>
      <c r="M845" s="6"/>
      <c r="N845" s="6"/>
      <c r="O845" s="6"/>
      <c r="P845" s="6"/>
      <c r="Q845" s="6"/>
      <c r="R845" s="6"/>
      <c r="S845" s="6"/>
      <c r="T845" s="6"/>
      <c r="U845" s="6"/>
      <c r="V845" s="6"/>
      <c r="W845" s="6"/>
      <c r="X845" s="6"/>
      <c r="Y845" s="6"/>
      <c r="Z845" s="6"/>
      <c r="AA845" s="6"/>
      <c r="AB845" s="6"/>
    </row>
    <row r="846" ht="16.5" customHeight="1">
      <c r="A846" s="6"/>
      <c r="B846" s="6"/>
      <c r="C846" s="6"/>
      <c r="D846" s="6"/>
      <c r="E846" s="6"/>
      <c r="F846" s="6"/>
      <c r="G846" s="6"/>
      <c r="H846" s="93"/>
      <c r="I846" s="93"/>
      <c r="J846" s="93"/>
      <c r="K846" s="93"/>
      <c r="L846" s="93"/>
      <c r="M846" s="6"/>
      <c r="N846" s="6"/>
      <c r="O846" s="6"/>
      <c r="P846" s="6"/>
      <c r="Q846" s="6"/>
      <c r="R846" s="6"/>
      <c r="S846" s="6"/>
      <c r="T846" s="6"/>
      <c r="U846" s="6"/>
      <c r="V846" s="6"/>
      <c r="W846" s="6"/>
      <c r="X846" s="6"/>
      <c r="Y846" s="6"/>
      <c r="Z846" s="6"/>
      <c r="AA846" s="6"/>
      <c r="AB846" s="6"/>
    </row>
    <row r="847" ht="16.5" customHeight="1">
      <c r="A847" s="6"/>
      <c r="B847" s="6"/>
      <c r="C847" s="6"/>
      <c r="D847" s="6"/>
      <c r="E847" s="6"/>
      <c r="F847" s="6"/>
      <c r="G847" s="6"/>
      <c r="H847" s="93"/>
      <c r="I847" s="93"/>
      <c r="J847" s="93"/>
      <c r="K847" s="93"/>
      <c r="L847" s="93"/>
      <c r="M847" s="6"/>
      <c r="N847" s="6"/>
      <c r="O847" s="6"/>
      <c r="P847" s="6"/>
      <c r="Q847" s="6"/>
      <c r="R847" s="6"/>
      <c r="S847" s="6"/>
      <c r="T847" s="6"/>
      <c r="U847" s="6"/>
      <c r="V847" s="6"/>
      <c r="W847" s="6"/>
      <c r="X847" s="6"/>
      <c r="Y847" s="6"/>
      <c r="Z847" s="6"/>
      <c r="AA847" s="6"/>
      <c r="AB847" s="6"/>
    </row>
    <row r="848" ht="16.5" customHeight="1">
      <c r="A848" s="6"/>
      <c r="B848" s="6"/>
      <c r="C848" s="6"/>
      <c r="D848" s="6"/>
      <c r="E848" s="6"/>
      <c r="F848" s="6"/>
      <c r="G848" s="6"/>
      <c r="H848" s="93"/>
      <c r="I848" s="93"/>
      <c r="J848" s="93"/>
      <c r="K848" s="93"/>
      <c r="L848" s="93"/>
      <c r="M848" s="6"/>
      <c r="N848" s="6"/>
      <c r="O848" s="6"/>
      <c r="P848" s="6"/>
      <c r="Q848" s="6"/>
      <c r="R848" s="6"/>
      <c r="S848" s="6"/>
      <c r="T848" s="6"/>
      <c r="U848" s="6"/>
      <c r="V848" s="6"/>
      <c r="W848" s="6"/>
      <c r="X848" s="6"/>
      <c r="Y848" s="6"/>
      <c r="Z848" s="6"/>
      <c r="AA848" s="6"/>
      <c r="AB848" s="6"/>
    </row>
    <row r="849" ht="16.5" customHeight="1">
      <c r="A849" s="6"/>
      <c r="B849" s="6"/>
      <c r="C849" s="6"/>
      <c r="D849" s="6"/>
      <c r="E849" s="6"/>
      <c r="F849" s="6"/>
      <c r="G849" s="6"/>
      <c r="H849" s="93"/>
      <c r="I849" s="93"/>
      <c r="J849" s="93"/>
      <c r="K849" s="93"/>
      <c r="L849" s="93"/>
      <c r="M849" s="6"/>
      <c r="N849" s="6"/>
      <c r="O849" s="6"/>
      <c r="P849" s="6"/>
      <c r="Q849" s="6"/>
      <c r="R849" s="6"/>
      <c r="S849" s="6"/>
      <c r="T849" s="6"/>
      <c r="U849" s="6"/>
      <c r="V849" s="6"/>
      <c r="W849" s="6"/>
      <c r="X849" s="6"/>
      <c r="Y849" s="6"/>
      <c r="Z849" s="6"/>
      <c r="AA849" s="6"/>
      <c r="AB849" s="6"/>
    </row>
    <row r="850" ht="16.5" customHeight="1">
      <c r="A850" s="6"/>
      <c r="B850" s="6"/>
      <c r="C850" s="6"/>
      <c r="D850" s="6"/>
      <c r="E850" s="6"/>
      <c r="F850" s="6"/>
      <c r="G850" s="6"/>
      <c r="H850" s="93"/>
      <c r="I850" s="93"/>
      <c r="J850" s="93"/>
      <c r="K850" s="93"/>
      <c r="L850" s="93"/>
      <c r="M850" s="6"/>
      <c r="N850" s="6"/>
      <c r="O850" s="6"/>
      <c r="P850" s="6"/>
      <c r="Q850" s="6"/>
      <c r="R850" s="6"/>
      <c r="S850" s="6"/>
      <c r="T850" s="6"/>
      <c r="U850" s="6"/>
      <c r="V850" s="6"/>
      <c r="W850" s="6"/>
      <c r="X850" s="6"/>
      <c r="Y850" s="6"/>
      <c r="Z850" s="6"/>
      <c r="AA850" s="6"/>
      <c r="AB850" s="6"/>
    </row>
    <row r="851" ht="16.5" customHeight="1">
      <c r="A851" s="6"/>
      <c r="B851" s="6"/>
      <c r="C851" s="6"/>
      <c r="D851" s="6"/>
      <c r="E851" s="6"/>
      <c r="F851" s="6"/>
      <c r="G851" s="6"/>
      <c r="H851" s="93"/>
      <c r="I851" s="93"/>
      <c r="J851" s="93"/>
      <c r="K851" s="93"/>
      <c r="L851" s="93"/>
      <c r="M851" s="6"/>
      <c r="N851" s="6"/>
      <c r="O851" s="6"/>
      <c r="P851" s="6"/>
      <c r="Q851" s="6"/>
      <c r="R851" s="6"/>
      <c r="S851" s="6"/>
      <c r="T851" s="6"/>
      <c r="U851" s="6"/>
      <c r="V851" s="6"/>
      <c r="W851" s="6"/>
      <c r="X851" s="6"/>
      <c r="Y851" s="6"/>
      <c r="Z851" s="6"/>
      <c r="AA851" s="6"/>
      <c r="AB851" s="6"/>
    </row>
    <row r="852" ht="16.5" customHeight="1">
      <c r="A852" s="6"/>
      <c r="B852" s="6"/>
      <c r="C852" s="6"/>
      <c r="D852" s="6"/>
      <c r="E852" s="6"/>
      <c r="F852" s="6"/>
      <c r="G852" s="6"/>
      <c r="H852" s="93"/>
      <c r="I852" s="93"/>
      <c r="J852" s="93"/>
      <c r="K852" s="93"/>
      <c r="L852" s="93"/>
      <c r="M852" s="6"/>
      <c r="N852" s="6"/>
      <c r="O852" s="6"/>
      <c r="P852" s="6"/>
      <c r="Q852" s="6"/>
      <c r="R852" s="6"/>
      <c r="S852" s="6"/>
      <c r="T852" s="6"/>
      <c r="U852" s="6"/>
      <c r="V852" s="6"/>
      <c r="W852" s="6"/>
      <c r="X852" s="6"/>
      <c r="Y852" s="6"/>
      <c r="Z852" s="6"/>
      <c r="AA852" s="6"/>
      <c r="AB852" s="6"/>
    </row>
    <row r="853" ht="16.5" customHeight="1">
      <c r="A853" s="6"/>
      <c r="B853" s="6"/>
      <c r="C853" s="6"/>
      <c r="D853" s="6"/>
      <c r="E853" s="6"/>
      <c r="F853" s="6"/>
      <c r="G853" s="6"/>
      <c r="H853" s="93"/>
      <c r="I853" s="93"/>
      <c r="J853" s="93"/>
      <c r="K853" s="93"/>
      <c r="L853" s="93"/>
      <c r="M853" s="6"/>
      <c r="N853" s="6"/>
      <c r="O853" s="6"/>
      <c r="P853" s="6"/>
      <c r="Q853" s="6"/>
      <c r="R853" s="6"/>
      <c r="S853" s="6"/>
      <c r="T853" s="6"/>
      <c r="U853" s="6"/>
      <c r="V853" s="6"/>
      <c r="W853" s="6"/>
      <c r="X853" s="6"/>
      <c r="Y853" s="6"/>
      <c r="Z853" s="6"/>
      <c r="AA853" s="6"/>
      <c r="AB853" s="6"/>
    </row>
    <row r="854" ht="16.5" customHeight="1">
      <c r="A854" s="6"/>
      <c r="B854" s="6"/>
      <c r="C854" s="6"/>
      <c r="D854" s="6"/>
      <c r="E854" s="6"/>
      <c r="F854" s="6"/>
      <c r="G854" s="6"/>
      <c r="H854" s="93"/>
      <c r="I854" s="93"/>
      <c r="J854" s="93"/>
      <c r="K854" s="93"/>
      <c r="L854" s="93"/>
      <c r="M854" s="6"/>
      <c r="N854" s="6"/>
      <c r="O854" s="6"/>
      <c r="P854" s="6"/>
      <c r="Q854" s="6"/>
      <c r="R854" s="6"/>
      <c r="S854" s="6"/>
      <c r="T854" s="6"/>
      <c r="U854" s="6"/>
      <c r="V854" s="6"/>
      <c r="W854" s="6"/>
      <c r="X854" s="6"/>
      <c r="Y854" s="6"/>
      <c r="Z854" s="6"/>
      <c r="AA854" s="6"/>
      <c r="AB854" s="6"/>
    </row>
    <row r="855" ht="16.5" customHeight="1">
      <c r="A855" s="6"/>
      <c r="B855" s="6"/>
      <c r="C855" s="6"/>
      <c r="D855" s="6"/>
      <c r="E855" s="6"/>
      <c r="F855" s="6"/>
      <c r="G855" s="6"/>
      <c r="H855" s="93"/>
      <c r="I855" s="93"/>
      <c r="J855" s="93"/>
      <c r="K855" s="93"/>
      <c r="L855" s="93"/>
      <c r="M855" s="6"/>
      <c r="N855" s="6"/>
      <c r="O855" s="6"/>
      <c r="P855" s="6"/>
      <c r="Q855" s="6"/>
      <c r="R855" s="6"/>
      <c r="S855" s="6"/>
      <c r="T855" s="6"/>
      <c r="U855" s="6"/>
      <c r="V855" s="6"/>
      <c r="W855" s="6"/>
      <c r="X855" s="6"/>
      <c r="Y855" s="6"/>
      <c r="Z855" s="6"/>
      <c r="AA855" s="6"/>
      <c r="AB855" s="6"/>
    </row>
    <row r="856" ht="16.5" customHeight="1">
      <c r="A856" s="6"/>
      <c r="B856" s="6"/>
      <c r="C856" s="6"/>
      <c r="D856" s="6"/>
      <c r="E856" s="6"/>
      <c r="F856" s="6"/>
      <c r="G856" s="6"/>
      <c r="H856" s="93"/>
      <c r="I856" s="93"/>
      <c r="J856" s="93"/>
      <c r="K856" s="93"/>
      <c r="L856" s="93"/>
      <c r="M856" s="6"/>
      <c r="N856" s="6"/>
      <c r="O856" s="6"/>
      <c r="P856" s="6"/>
      <c r="Q856" s="6"/>
      <c r="R856" s="6"/>
      <c r="S856" s="6"/>
      <c r="T856" s="6"/>
      <c r="U856" s="6"/>
      <c r="V856" s="6"/>
      <c r="W856" s="6"/>
      <c r="X856" s="6"/>
      <c r="Y856" s="6"/>
      <c r="Z856" s="6"/>
      <c r="AA856" s="6"/>
      <c r="AB856" s="6"/>
    </row>
    <row r="857" ht="16.5" customHeight="1">
      <c r="A857" s="6"/>
      <c r="B857" s="6"/>
      <c r="C857" s="6"/>
      <c r="D857" s="6"/>
      <c r="E857" s="6"/>
      <c r="F857" s="6"/>
      <c r="G857" s="6"/>
      <c r="H857" s="93"/>
      <c r="I857" s="93"/>
      <c r="J857" s="93"/>
      <c r="K857" s="93"/>
      <c r="L857" s="93"/>
      <c r="M857" s="6"/>
      <c r="N857" s="6"/>
      <c r="O857" s="6"/>
      <c r="P857" s="6"/>
      <c r="Q857" s="6"/>
      <c r="R857" s="6"/>
      <c r="S857" s="6"/>
      <c r="T857" s="6"/>
      <c r="U857" s="6"/>
      <c r="V857" s="6"/>
      <c r="W857" s="6"/>
      <c r="X857" s="6"/>
      <c r="Y857" s="6"/>
      <c r="Z857" s="6"/>
      <c r="AA857" s="6"/>
      <c r="AB857" s="6"/>
    </row>
    <row r="858" ht="16.5" customHeight="1">
      <c r="A858" s="6"/>
      <c r="B858" s="6"/>
      <c r="C858" s="6"/>
      <c r="D858" s="6"/>
      <c r="E858" s="6"/>
      <c r="F858" s="6"/>
      <c r="G858" s="6"/>
      <c r="H858" s="93"/>
      <c r="I858" s="93"/>
      <c r="J858" s="93"/>
      <c r="K858" s="93"/>
      <c r="L858" s="93"/>
      <c r="M858" s="6"/>
      <c r="N858" s="6"/>
      <c r="O858" s="6"/>
      <c r="P858" s="6"/>
      <c r="Q858" s="6"/>
      <c r="R858" s="6"/>
      <c r="S858" s="6"/>
      <c r="T858" s="6"/>
      <c r="U858" s="6"/>
      <c r="V858" s="6"/>
      <c r="W858" s="6"/>
      <c r="X858" s="6"/>
      <c r="Y858" s="6"/>
      <c r="Z858" s="6"/>
      <c r="AA858" s="6"/>
      <c r="AB858" s="6"/>
    </row>
    <row r="859" ht="16.5" customHeight="1">
      <c r="A859" s="6"/>
      <c r="B859" s="6"/>
      <c r="C859" s="6"/>
      <c r="D859" s="6"/>
      <c r="E859" s="6"/>
      <c r="F859" s="6"/>
      <c r="G859" s="6"/>
      <c r="H859" s="93"/>
      <c r="I859" s="93"/>
      <c r="J859" s="93"/>
      <c r="K859" s="93"/>
      <c r="L859" s="93"/>
      <c r="M859" s="6"/>
      <c r="N859" s="6"/>
      <c r="O859" s="6"/>
      <c r="P859" s="6"/>
      <c r="Q859" s="6"/>
      <c r="R859" s="6"/>
      <c r="S859" s="6"/>
      <c r="T859" s="6"/>
      <c r="U859" s="6"/>
      <c r="V859" s="6"/>
      <c r="W859" s="6"/>
      <c r="X859" s="6"/>
      <c r="Y859" s="6"/>
      <c r="Z859" s="6"/>
      <c r="AA859" s="6"/>
      <c r="AB859" s="6"/>
    </row>
    <row r="860" ht="16.5" customHeight="1">
      <c r="A860" s="6"/>
      <c r="B860" s="6"/>
      <c r="C860" s="6"/>
      <c r="D860" s="6"/>
      <c r="E860" s="6"/>
      <c r="F860" s="6"/>
      <c r="G860" s="6"/>
      <c r="H860" s="93"/>
      <c r="I860" s="93"/>
      <c r="J860" s="93"/>
      <c r="K860" s="93"/>
      <c r="L860" s="93"/>
      <c r="M860" s="6"/>
      <c r="N860" s="6"/>
      <c r="O860" s="6"/>
      <c r="P860" s="6"/>
      <c r="Q860" s="6"/>
      <c r="R860" s="6"/>
      <c r="S860" s="6"/>
      <c r="T860" s="6"/>
      <c r="U860" s="6"/>
      <c r="V860" s="6"/>
      <c r="W860" s="6"/>
      <c r="X860" s="6"/>
      <c r="Y860" s="6"/>
      <c r="Z860" s="6"/>
      <c r="AA860" s="6"/>
      <c r="AB860" s="6"/>
    </row>
    <row r="861" ht="16.5" customHeight="1">
      <c r="A861" s="6"/>
      <c r="B861" s="6"/>
      <c r="C861" s="6"/>
      <c r="D861" s="6"/>
      <c r="E861" s="6"/>
      <c r="F861" s="6"/>
      <c r="G861" s="6"/>
      <c r="H861" s="93"/>
      <c r="I861" s="93"/>
      <c r="J861" s="93"/>
      <c r="K861" s="93"/>
      <c r="L861" s="93"/>
      <c r="M861" s="6"/>
      <c r="N861" s="6"/>
      <c r="O861" s="6"/>
      <c r="P861" s="6"/>
      <c r="Q861" s="6"/>
      <c r="R861" s="6"/>
      <c r="S861" s="6"/>
      <c r="T861" s="6"/>
      <c r="U861" s="6"/>
      <c r="V861" s="6"/>
      <c r="W861" s="6"/>
      <c r="X861" s="6"/>
      <c r="Y861" s="6"/>
      <c r="Z861" s="6"/>
      <c r="AA861" s="6"/>
      <c r="AB861" s="6"/>
    </row>
    <row r="862" ht="16.5" customHeight="1">
      <c r="A862" s="6"/>
      <c r="B862" s="6"/>
      <c r="C862" s="6"/>
      <c r="D862" s="6"/>
      <c r="E862" s="6"/>
      <c r="F862" s="6"/>
      <c r="G862" s="6"/>
      <c r="H862" s="93"/>
      <c r="I862" s="93"/>
      <c r="J862" s="93"/>
      <c r="K862" s="93"/>
      <c r="L862" s="93"/>
      <c r="M862" s="6"/>
      <c r="N862" s="6"/>
      <c r="O862" s="6"/>
      <c r="P862" s="6"/>
      <c r="Q862" s="6"/>
      <c r="R862" s="6"/>
      <c r="S862" s="6"/>
      <c r="T862" s="6"/>
      <c r="U862" s="6"/>
      <c r="V862" s="6"/>
      <c r="W862" s="6"/>
      <c r="X862" s="6"/>
      <c r="Y862" s="6"/>
      <c r="Z862" s="6"/>
      <c r="AA862" s="6"/>
      <c r="AB862" s="6"/>
    </row>
    <row r="863" ht="16.5" customHeight="1">
      <c r="A863" s="6"/>
      <c r="B863" s="6"/>
      <c r="C863" s="6"/>
      <c r="D863" s="6"/>
      <c r="E863" s="6"/>
      <c r="F863" s="6"/>
      <c r="G863" s="6"/>
      <c r="H863" s="93"/>
      <c r="I863" s="93"/>
      <c r="J863" s="93"/>
      <c r="K863" s="93"/>
      <c r="L863" s="93"/>
      <c r="M863" s="6"/>
      <c r="N863" s="6"/>
      <c r="O863" s="6"/>
      <c r="P863" s="6"/>
      <c r="Q863" s="6"/>
      <c r="R863" s="6"/>
      <c r="S863" s="6"/>
      <c r="T863" s="6"/>
      <c r="U863" s="6"/>
      <c r="V863" s="6"/>
      <c r="W863" s="6"/>
      <c r="X863" s="6"/>
      <c r="Y863" s="6"/>
      <c r="Z863" s="6"/>
      <c r="AA863" s="6"/>
      <c r="AB863" s="6"/>
    </row>
    <row r="864" ht="16.5" customHeight="1">
      <c r="A864" s="6"/>
      <c r="B864" s="6"/>
      <c r="C864" s="6"/>
      <c r="D864" s="6"/>
      <c r="E864" s="6"/>
      <c r="F864" s="6"/>
      <c r="G864" s="6"/>
      <c r="H864" s="93"/>
      <c r="I864" s="93"/>
      <c r="J864" s="93"/>
      <c r="K864" s="93"/>
      <c r="L864" s="93"/>
      <c r="M864" s="6"/>
      <c r="N864" s="6"/>
      <c r="O864" s="6"/>
      <c r="P864" s="6"/>
      <c r="Q864" s="6"/>
      <c r="R864" s="6"/>
      <c r="S864" s="6"/>
      <c r="T864" s="6"/>
      <c r="U864" s="6"/>
      <c r="V864" s="6"/>
      <c r="W864" s="6"/>
      <c r="X864" s="6"/>
      <c r="Y864" s="6"/>
      <c r="Z864" s="6"/>
      <c r="AA864" s="6"/>
      <c r="AB864" s="6"/>
    </row>
    <row r="865" ht="16.5" customHeight="1">
      <c r="A865" s="6"/>
      <c r="B865" s="6"/>
      <c r="C865" s="6"/>
      <c r="D865" s="6"/>
      <c r="E865" s="6"/>
      <c r="F865" s="6"/>
      <c r="G865" s="6"/>
      <c r="H865" s="93"/>
      <c r="I865" s="93"/>
      <c r="J865" s="93"/>
      <c r="K865" s="93"/>
      <c r="L865" s="93"/>
      <c r="M865" s="6"/>
      <c r="N865" s="6"/>
      <c r="O865" s="6"/>
      <c r="P865" s="6"/>
      <c r="Q865" s="6"/>
      <c r="R865" s="6"/>
      <c r="S865" s="6"/>
      <c r="T865" s="6"/>
      <c r="U865" s="6"/>
      <c r="V865" s="6"/>
      <c r="W865" s="6"/>
      <c r="X865" s="6"/>
      <c r="Y865" s="6"/>
      <c r="Z865" s="6"/>
      <c r="AA865" s="6"/>
      <c r="AB865" s="6"/>
    </row>
    <row r="866" ht="16.5" customHeight="1">
      <c r="A866" s="6"/>
      <c r="B866" s="6"/>
      <c r="C866" s="6"/>
      <c r="D866" s="6"/>
      <c r="E866" s="6"/>
      <c r="F866" s="6"/>
      <c r="G866" s="6"/>
      <c r="H866" s="93"/>
      <c r="I866" s="93"/>
      <c r="J866" s="93"/>
      <c r="K866" s="93"/>
      <c r="L866" s="93"/>
      <c r="M866" s="6"/>
      <c r="N866" s="6"/>
      <c r="O866" s="6"/>
      <c r="P866" s="6"/>
      <c r="Q866" s="6"/>
      <c r="R866" s="6"/>
      <c r="S866" s="6"/>
      <c r="T866" s="6"/>
      <c r="U866" s="6"/>
      <c r="V866" s="6"/>
      <c r="W866" s="6"/>
      <c r="X866" s="6"/>
      <c r="Y866" s="6"/>
      <c r="Z866" s="6"/>
      <c r="AA866" s="6"/>
      <c r="AB866" s="6"/>
    </row>
    <row r="867" ht="16.5" customHeight="1">
      <c r="A867" s="6"/>
      <c r="B867" s="6"/>
      <c r="C867" s="6"/>
      <c r="D867" s="6"/>
      <c r="E867" s="6"/>
      <c r="F867" s="6"/>
      <c r="G867" s="6"/>
      <c r="H867" s="93"/>
      <c r="I867" s="93"/>
      <c r="J867" s="93"/>
      <c r="K867" s="93"/>
      <c r="L867" s="93"/>
      <c r="M867" s="6"/>
      <c r="N867" s="6"/>
      <c r="O867" s="6"/>
      <c r="P867" s="6"/>
      <c r="Q867" s="6"/>
      <c r="R867" s="6"/>
      <c r="S867" s="6"/>
      <c r="T867" s="6"/>
      <c r="U867" s="6"/>
      <c r="V867" s="6"/>
      <c r="W867" s="6"/>
      <c r="X867" s="6"/>
      <c r="Y867" s="6"/>
      <c r="Z867" s="6"/>
      <c r="AA867" s="6"/>
      <c r="AB867" s="6"/>
    </row>
    <row r="868" ht="16.5" customHeight="1">
      <c r="A868" s="6"/>
      <c r="B868" s="6"/>
      <c r="C868" s="6"/>
      <c r="D868" s="6"/>
      <c r="E868" s="6"/>
      <c r="F868" s="6"/>
      <c r="G868" s="6"/>
      <c r="H868" s="93"/>
      <c r="I868" s="93"/>
      <c r="J868" s="93"/>
      <c r="K868" s="93"/>
      <c r="L868" s="93"/>
      <c r="M868" s="6"/>
      <c r="N868" s="6"/>
      <c r="O868" s="6"/>
      <c r="P868" s="6"/>
      <c r="Q868" s="6"/>
      <c r="R868" s="6"/>
      <c r="S868" s="6"/>
      <c r="T868" s="6"/>
      <c r="U868" s="6"/>
      <c r="V868" s="6"/>
      <c r="W868" s="6"/>
      <c r="X868" s="6"/>
      <c r="Y868" s="6"/>
      <c r="Z868" s="6"/>
      <c r="AA868" s="6"/>
      <c r="AB868" s="6"/>
    </row>
    <row r="869" ht="16.5" customHeight="1">
      <c r="A869" s="6"/>
      <c r="B869" s="6"/>
      <c r="C869" s="6"/>
      <c r="D869" s="6"/>
      <c r="E869" s="6"/>
      <c r="F869" s="6"/>
      <c r="G869" s="6"/>
      <c r="H869" s="93"/>
      <c r="I869" s="93"/>
      <c r="J869" s="93"/>
      <c r="K869" s="93"/>
      <c r="L869" s="93"/>
      <c r="M869" s="6"/>
      <c r="N869" s="6"/>
      <c r="O869" s="6"/>
      <c r="P869" s="6"/>
      <c r="Q869" s="6"/>
      <c r="R869" s="6"/>
      <c r="S869" s="6"/>
      <c r="T869" s="6"/>
      <c r="U869" s="6"/>
      <c r="V869" s="6"/>
      <c r="W869" s="6"/>
      <c r="X869" s="6"/>
      <c r="Y869" s="6"/>
      <c r="Z869" s="6"/>
      <c r="AA869" s="6"/>
      <c r="AB869" s="6"/>
    </row>
    <row r="870" ht="16.5" customHeight="1">
      <c r="A870" s="6"/>
      <c r="B870" s="6"/>
      <c r="C870" s="6"/>
      <c r="D870" s="6"/>
      <c r="E870" s="6"/>
      <c r="F870" s="6"/>
      <c r="G870" s="6"/>
      <c r="H870" s="93"/>
      <c r="I870" s="93"/>
      <c r="J870" s="93"/>
      <c r="K870" s="93"/>
      <c r="L870" s="93"/>
      <c r="M870" s="6"/>
      <c r="N870" s="6"/>
      <c r="O870" s="6"/>
      <c r="P870" s="6"/>
      <c r="Q870" s="6"/>
      <c r="R870" s="6"/>
      <c r="S870" s="6"/>
      <c r="T870" s="6"/>
      <c r="U870" s="6"/>
      <c r="V870" s="6"/>
      <c r="W870" s="6"/>
      <c r="X870" s="6"/>
      <c r="Y870" s="6"/>
      <c r="Z870" s="6"/>
      <c r="AA870" s="6"/>
      <c r="AB870" s="6"/>
    </row>
    <row r="871" ht="16.5" customHeight="1">
      <c r="A871" s="6"/>
      <c r="B871" s="6"/>
      <c r="C871" s="6"/>
      <c r="D871" s="6"/>
      <c r="E871" s="6"/>
      <c r="F871" s="6"/>
      <c r="G871" s="6"/>
      <c r="H871" s="93"/>
      <c r="I871" s="93"/>
      <c r="J871" s="93"/>
      <c r="K871" s="93"/>
      <c r="L871" s="93"/>
      <c r="M871" s="6"/>
      <c r="N871" s="6"/>
      <c r="O871" s="6"/>
      <c r="P871" s="6"/>
      <c r="Q871" s="6"/>
      <c r="R871" s="6"/>
      <c r="S871" s="6"/>
      <c r="T871" s="6"/>
      <c r="U871" s="6"/>
      <c r="V871" s="6"/>
      <c r="W871" s="6"/>
      <c r="X871" s="6"/>
      <c r="Y871" s="6"/>
      <c r="Z871" s="6"/>
      <c r="AA871" s="6"/>
      <c r="AB871" s="6"/>
    </row>
    <row r="872" ht="16.5" customHeight="1">
      <c r="A872" s="6"/>
      <c r="B872" s="6"/>
      <c r="C872" s="6"/>
      <c r="D872" s="6"/>
      <c r="E872" s="6"/>
      <c r="F872" s="6"/>
      <c r="G872" s="6"/>
      <c r="H872" s="93"/>
      <c r="I872" s="93"/>
      <c r="J872" s="93"/>
      <c r="K872" s="93"/>
      <c r="L872" s="93"/>
      <c r="M872" s="6"/>
      <c r="N872" s="6"/>
      <c r="O872" s="6"/>
      <c r="P872" s="6"/>
      <c r="Q872" s="6"/>
      <c r="R872" s="6"/>
      <c r="S872" s="6"/>
      <c r="T872" s="6"/>
      <c r="U872" s="6"/>
      <c r="V872" s="6"/>
      <c r="W872" s="6"/>
      <c r="X872" s="6"/>
      <c r="Y872" s="6"/>
      <c r="Z872" s="6"/>
      <c r="AA872" s="6"/>
      <c r="AB872" s="6"/>
    </row>
    <row r="873" ht="16.5" customHeight="1">
      <c r="A873" s="6"/>
      <c r="B873" s="6"/>
      <c r="C873" s="6"/>
      <c r="D873" s="6"/>
      <c r="E873" s="6"/>
      <c r="F873" s="6"/>
      <c r="G873" s="6"/>
      <c r="H873" s="93"/>
      <c r="I873" s="93"/>
      <c r="J873" s="93"/>
      <c r="K873" s="93"/>
      <c r="L873" s="93"/>
      <c r="M873" s="6"/>
      <c r="N873" s="6"/>
      <c r="O873" s="6"/>
      <c r="P873" s="6"/>
      <c r="Q873" s="6"/>
      <c r="R873" s="6"/>
      <c r="S873" s="6"/>
      <c r="T873" s="6"/>
      <c r="U873" s="6"/>
      <c r="V873" s="6"/>
      <c r="W873" s="6"/>
      <c r="X873" s="6"/>
      <c r="Y873" s="6"/>
      <c r="Z873" s="6"/>
      <c r="AA873" s="6"/>
      <c r="AB873" s="6"/>
    </row>
    <row r="874" ht="16.5" customHeight="1">
      <c r="A874" s="6"/>
      <c r="B874" s="6"/>
      <c r="C874" s="6"/>
      <c r="D874" s="6"/>
      <c r="E874" s="6"/>
      <c r="F874" s="6"/>
      <c r="G874" s="6"/>
      <c r="H874" s="93"/>
      <c r="I874" s="93"/>
      <c r="J874" s="93"/>
      <c r="K874" s="93"/>
      <c r="L874" s="93"/>
      <c r="M874" s="6"/>
      <c r="N874" s="6"/>
      <c r="O874" s="6"/>
      <c r="P874" s="6"/>
      <c r="Q874" s="6"/>
      <c r="R874" s="6"/>
      <c r="S874" s="6"/>
      <c r="T874" s="6"/>
      <c r="U874" s="6"/>
      <c r="V874" s="6"/>
      <c r="W874" s="6"/>
      <c r="X874" s="6"/>
      <c r="Y874" s="6"/>
      <c r="Z874" s="6"/>
      <c r="AA874" s="6"/>
      <c r="AB874" s="6"/>
    </row>
    <row r="875" ht="16.5" customHeight="1">
      <c r="A875" s="6"/>
      <c r="B875" s="6"/>
      <c r="C875" s="6"/>
      <c r="D875" s="6"/>
      <c r="E875" s="6"/>
      <c r="F875" s="6"/>
      <c r="G875" s="6"/>
      <c r="H875" s="93"/>
      <c r="I875" s="93"/>
      <c r="J875" s="93"/>
      <c r="K875" s="93"/>
      <c r="L875" s="93"/>
      <c r="M875" s="6"/>
      <c r="N875" s="6"/>
      <c r="O875" s="6"/>
      <c r="P875" s="6"/>
      <c r="Q875" s="6"/>
      <c r="R875" s="6"/>
      <c r="S875" s="6"/>
      <c r="T875" s="6"/>
      <c r="U875" s="6"/>
      <c r="V875" s="6"/>
      <c r="W875" s="6"/>
      <c r="X875" s="6"/>
      <c r="Y875" s="6"/>
      <c r="Z875" s="6"/>
      <c r="AA875" s="6"/>
      <c r="AB875" s="6"/>
    </row>
    <row r="876" ht="16.5" customHeight="1">
      <c r="A876" s="6"/>
      <c r="B876" s="6"/>
      <c r="C876" s="6"/>
      <c r="D876" s="6"/>
      <c r="E876" s="6"/>
      <c r="F876" s="6"/>
      <c r="G876" s="6"/>
      <c r="H876" s="93"/>
      <c r="I876" s="93"/>
      <c r="J876" s="93"/>
      <c r="K876" s="93"/>
      <c r="L876" s="93"/>
      <c r="M876" s="6"/>
      <c r="N876" s="6"/>
      <c r="O876" s="6"/>
      <c r="P876" s="6"/>
      <c r="Q876" s="6"/>
      <c r="R876" s="6"/>
      <c r="S876" s="6"/>
      <c r="T876" s="6"/>
      <c r="U876" s="6"/>
      <c r="V876" s="6"/>
      <c r="W876" s="6"/>
      <c r="X876" s="6"/>
      <c r="Y876" s="6"/>
      <c r="Z876" s="6"/>
      <c r="AA876" s="6"/>
      <c r="AB876" s="6"/>
    </row>
    <row r="877" ht="16.5" customHeight="1">
      <c r="A877" s="6"/>
      <c r="B877" s="6"/>
      <c r="C877" s="6"/>
      <c r="D877" s="6"/>
      <c r="E877" s="6"/>
      <c r="F877" s="6"/>
      <c r="G877" s="6"/>
      <c r="H877" s="93"/>
      <c r="I877" s="93"/>
      <c r="J877" s="93"/>
      <c r="K877" s="93"/>
      <c r="L877" s="93"/>
      <c r="M877" s="6"/>
      <c r="N877" s="6"/>
      <c r="O877" s="6"/>
      <c r="P877" s="6"/>
      <c r="Q877" s="6"/>
      <c r="R877" s="6"/>
      <c r="S877" s="6"/>
      <c r="T877" s="6"/>
      <c r="U877" s="6"/>
      <c r="V877" s="6"/>
      <c r="W877" s="6"/>
      <c r="X877" s="6"/>
      <c r="Y877" s="6"/>
      <c r="Z877" s="6"/>
      <c r="AA877" s="6"/>
      <c r="AB877" s="6"/>
    </row>
    <row r="878" ht="16.5" customHeight="1">
      <c r="A878" s="6"/>
      <c r="B878" s="6"/>
      <c r="C878" s="6"/>
      <c r="D878" s="6"/>
      <c r="E878" s="6"/>
      <c r="F878" s="6"/>
      <c r="G878" s="6"/>
      <c r="H878" s="93"/>
      <c r="I878" s="93"/>
      <c r="J878" s="93"/>
      <c r="K878" s="93"/>
      <c r="L878" s="93"/>
      <c r="M878" s="6"/>
      <c r="N878" s="6"/>
      <c r="O878" s="6"/>
      <c r="P878" s="6"/>
      <c r="Q878" s="6"/>
      <c r="R878" s="6"/>
      <c r="S878" s="6"/>
      <c r="T878" s="6"/>
      <c r="U878" s="6"/>
      <c r="V878" s="6"/>
      <c r="W878" s="6"/>
      <c r="X878" s="6"/>
      <c r="Y878" s="6"/>
      <c r="Z878" s="6"/>
      <c r="AA878" s="6"/>
      <c r="AB878" s="6"/>
    </row>
    <row r="879" ht="16.5" customHeight="1">
      <c r="A879" s="6"/>
      <c r="B879" s="6"/>
      <c r="C879" s="6"/>
      <c r="D879" s="6"/>
      <c r="E879" s="6"/>
      <c r="F879" s="6"/>
      <c r="G879" s="6"/>
      <c r="H879" s="93"/>
      <c r="I879" s="93"/>
      <c r="J879" s="93"/>
      <c r="K879" s="93"/>
      <c r="L879" s="93"/>
      <c r="M879" s="6"/>
      <c r="N879" s="6"/>
      <c r="O879" s="6"/>
      <c r="P879" s="6"/>
      <c r="Q879" s="6"/>
      <c r="R879" s="6"/>
      <c r="S879" s="6"/>
      <c r="T879" s="6"/>
      <c r="U879" s="6"/>
      <c r="V879" s="6"/>
      <c r="W879" s="6"/>
      <c r="X879" s="6"/>
      <c r="Y879" s="6"/>
      <c r="Z879" s="6"/>
      <c r="AA879" s="6"/>
      <c r="AB879" s="6"/>
    </row>
    <row r="880" ht="16.5" customHeight="1">
      <c r="A880" s="6"/>
      <c r="B880" s="6"/>
      <c r="C880" s="6"/>
      <c r="D880" s="6"/>
      <c r="E880" s="6"/>
      <c r="F880" s="6"/>
      <c r="G880" s="6"/>
      <c r="H880" s="93"/>
      <c r="I880" s="93"/>
      <c r="J880" s="93"/>
      <c r="K880" s="93"/>
      <c r="L880" s="93"/>
      <c r="M880" s="6"/>
      <c r="N880" s="6"/>
      <c r="O880" s="6"/>
      <c r="P880" s="6"/>
      <c r="Q880" s="6"/>
      <c r="R880" s="6"/>
      <c r="S880" s="6"/>
      <c r="T880" s="6"/>
      <c r="U880" s="6"/>
      <c r="V880" s="6"/>
      <c r="W880" s="6"/>
      <c r="X880" s="6"/>
      <c r="Y880" s="6"/>
      <c r="Z880" s="6"/>
      <c r="AA880" s="6"/>
      <c r="AB880" s="6"/>
    </row>
    <row r="881" ht="16.5" customHeight="1">
      <c r="A881" s="6"/>
      <c r="B881" s="6"/>
      <c r="C881" s="6"/>
      <c r="D881" s="6"/>
      <c r="E881" s="6"/>
      <c r="F881" s="6"/>
      <c r="G881" s="6"/>
      <c r="H881" s="93"/>
      <c r="I881" s="93"/>
      <c r="J881" s="93"/>
      <c r="K881" s="93"/>
      <c r="L881" s="93"/>
      <c r="M881" s="6"/>
      <c r="N881" s="6"/>
      <c r="O881" s="6"/>
      <c r="P881" s="6"/>
      <c r="Q881" s="6"/>
      <c r="R881" s="6"/>
      <c r="S881" s="6"/>
      <c r="T881" s="6"/>
      <c r="U881" s="6"/>
      <c r="V881" s="6"/>
      <c r="W881" s="6"/>
      <c r="X881" s="6"/>
      <c r="Y881" s="6"/>
      <c r="Z881" s="6"/>
      <c r="AA881" s="6"/>
      <c r="AB881" s="6"/>
    </row>
    <row r="882" ht="16.5" customHeight="1">
      <c r="A882" s="6"/>
      <c r="B882" s="6"/>
      <c r="C882" s="6"/>
      <c r="D882" s="6"/>
      <c r="E882" s="6"/>
      <c r="F882" s="6"/>
      <c r="G882" s="6"/>
      <c r="H882" s="93"/>
      <c r="I882" s="93"/>
      <c r="J882" s="93"/>
      <c r="K882" s="93"/>
      <c r="L882" s="93"/>
      <c r="M882" s="6"/>
      <c r="N882" s="6"/>
      <c r="O882" s="6"/>
      <c r="P882" s="6"/>
      <c r="Q882" s="6"/>
      <c r="R882" s="6"/>
      <c r="S882" s="6"/>
      <c r="T882" s="6"/>
      <c r="U882" s="6"/>
      <c r="V882" s="6"/>
      <c r="W882" s="6"/>
      <c r="X882" s="6"/>
      <c r="Y882" s="6"/>
      <c r="Z882" s="6"/>
      <c r="AA882" s="6"/>
      <c r="AB882" s="6"/>
    </row>
    <row r="883" ht="16.5" customHeight="1">
      <c r="A883" s="6"/>
      <c r="B883" s="6"/>
      <c r="C883" s="6"/>
      <c r="D883" s="6"/>
      <c r="E883" s="6"/>
      <c r="F883" s="6"/>
      <c r="G883" s="6"/>
      <c r="H883" s="93"/>
      <c r="I883" s="93"/>
      <c r="J883" s="93"/>
      <c r="K883" s="93"/>
      <c r="L883" s="93"/>
      <c r="M883" s="6"/>
      <c r="N883" s="6"/>
      <c r="O883" s="6"/>
      <c r="P883" s="6"/>
      <c r="Q883" s="6"/>
      <c r="R883" s="6"/>
      <c r="S883" s="6"/>
      <c r="T883" s="6"/>
      <c r="U883" s="6"/>
      <c r="V883" s="6"/>
      <c r="W883" s="6"/>
      <c r="X883" s="6"/>
      <c r="Y883" s="6"/>
      <c r="Z883" s="6"/>
      <c r="AA883" s="6"/>
      <c r="AB883" s="6"/>
    </row>
    <row r="884" ht="16.5" customHeight="1">
      <c r="A884" s="6"/>
      <c r="B884" s="6"/>
      <c r="C884" s="6"/>
      <c r="D884" s="6"/>
      <c r="E884" s="6"/>
      <c r="F884" s="6"/>
      <c r="G884" s="6"/>
      <c r="H884" s="93"/>
      <c r="I884" s="93"/>
      <c r="J884" s="93"/>
      <c r="K884" s="93"/>
      <c r="L884" s="93"/>
      <c r="M884" s="6"/>
      <c r="N884" s="6"/>
      <c r="O884" s="6"/>
      <c r="P884" s="6"/>
      <c r="Q884" s="6"/>
      <c r="R884" s="6"/>
      <c r="S884" s="6"/>
      <c r="T884" s="6"/>
      <c r="U884" s="6"/>
      <c r="V884" s="6"/>
      <c r="W884" s="6"/>
      <c r="X884" s="6"/>
      <c r="Y884" s="6"/>
      <c r="Z884" s="6"/>
      <c r="AA884" s="6"/>
      <c r="AB884" s="6"/>
    </row>
    <row r="885" ht="16.5" customHeight="1">
      <c r="A885" s="6"/>
      <c r="B885" s="6"/>
      <c r="C885" s="6"/>
      <c r="D885" s="6"/>
      <c r="E885" s="6"/>
      <c r="F885" s="6"/>
      <c r="G885" s="6"/>
      <c r="H885" s="93"/>
      <c r="I885" s="93"/>
      <c r="J885" s="93"/>
      <c r="K885" s="93"/>
      <c r="L885" s="93"/>
      <c r="M885" s="6"/>
      <c r="N885" s="6"/>
      <c r="O885" s="6"/>
      <c r="P885" s="6"/>
      <c r="Q885" s="6"/>
      <c r="R885" s="6"/>
      <c r="S885" s="6"/>
      <c r="T885" s="6"/>
      <c r="U885" s="6"/>
      <c r="V885" s="6"/>
      <c r="W885" s="6"/>
      <c r="X885" s="6"/>
      <c r="Y885" s="6"/>
      <c r="Z885" s="6"/>
      <c r="AA885" s="6"/>
      <c r="AB885" s="6"/>
    </row>
    <row r="886" ht="16.5" customHeight="1">
      <c r="A886" s="6"/>
      <c r="B886" s="6"/>
      <c r="C886" s="6"/>
      <c r="D886" s="6"/>
      <c r="E886" s="6"/>
      <c r="F886" s="6"/>
      <c r="G886" s="6"/>
      <c r="H886" s="93"/>
      <c r="I886" s="93"/>
      <c r="J886" s="93"/>
      <c r="K886" s="93"/>
      <c r="L886" s="93"/>
      <c r="M886" s="6"/>
      <c r="N886" s="6"/>
      <c r="O886" s="6"/>
      <c r="P886" s="6"/>
      <c r="Q886" s="6"/>
      <c r="R886" s="6"/>
      <c r="S886" s="6"/>
      <c r="T886" s="6"/>
      <c r="U886" s="6"/>
      <c r="V886" s="6"/>
      <c r="W886" s="6"/>
      <c r="X886" s="6"/>
      <c r="Y886" s="6"/>
      <c r="Z886" s="6"/>
      <c r="AA886" s="6"/>
      <c r="AB886" s="6"/>
    </row>
    <row r="887" ht="16.5" customHeight="1">
      <c r="A887" s="6"/>
      <c r="B887" s="6"/>
      <c r="C887" s="6"/>
      <c r="D887" s="6"/>
      <c r="E887" s="6"/>
      <c r="F887" s="6"/>
      <c r="G887" s="6"/>
      <c r="H887" s="93"/>
      <c r="I887" s="93"/>
      <c r="J887" s="93"/>
      <c r="K887" s="93"/>
      <c r="L887" s="93"/>
      <c r="M887" s="6"/>
      <c r="N887" s="6"/>
      <c r="O887" s="6"/>
      <c r="P887" s="6"/>
      <c r="Q887" s="6"/>
      <c r="R887" s="6"/>
      <c r="S887" s="6"/>
      <c r="T887" s="6"/>
      <c r="U887" s="6"/>
      <c r="V887" s="6"/>
      <c r="W887" s="6"/>
      <c r="X887" s="6"/>
      <c r="Y887" s="6"/>
      <c r="Z887" s="6"/>
      <c r="AA887" s="6"/>
      <c r="AB887" s="6"/>
    </row>
    <row r="888" ht="16.5" customHeight="1">
      <c r="A888" s="6"/>
      <c r="B888" s="6"/>
      <c r="C888" s="6"/>
      <c r="D888" s="6"/>
      <c r="E888" s="6"/>
      <c r="F888" s="6"/>
      <c r="G888" s="6"/>
      <c r="H888" s="93"/>
      <c r="I888" s="93"/>
      <c r="J888" s="93"/>
      <c r="K888" s="93"/>
      <c r="L888" s="93"/>
      <c r="M888" s="6"/>
      <c r="N888" s="6"/>
      <c r="O888" s="6"/>
      <c r="P888" s="6"/>
      <c r="Q888" s="6"/>
      <c r="R888" s="6"/>
      <c r="S888" s="6"/>
      <c r="T888" s="6"/>
      <c r="U888" s="6"/>
      <c r="V888" s="6"/>
      <c r="W888" s="6"/>
      <c r="X888" s="6"/>
      <c r="Y888" s="6"/>
      <c r="Z888" s="6"/>
      <c r="AA888" s="6"/>
      <c r="AB888" s="6"/>
    </row>
    <row r="889" ht="16.5" customHeight="1">
      <c r="A889" s="6"/>
      <c r="B889" s="6"/>
      <c r="C889" s="6"/>
      <c r="D889" s="6"/>
      <c r="E889" s="6"/>
      <c r="F889" s="6"/>
      <c r="G889" s="6"/>
      <c r="H889" s="93"/>
      <c r="I889" s="93"/>
      <c r="J889" s="93"/>
      <c r="K889" s="93"/>
      <c r="L889" s="93"/>
      <c r="M889" s="6"/>
      <c r="N889" s="6"/>
      <c r="O889" s="6"/>
      <c r="P889" s="6"/>
      <c r="Q889" s="6"/>
      <c r="R889" s="6"/>
      <c r="S889" s="6"/>
      <c r="T889" s="6"/>
      <c r="U889" s="6"/>
      <c r="V889" s="6"/>
      <c r="W889" s="6"/>
      <c r="X889" s="6"/>
      <c r="Y889" s="6"/>
      <c r="Z889" s="6"/>
      <c r="AA889" s="6"/>
      <c r="AB889" s="6"/>
    </row>
    <row r="890" ht="16.5" customHeight="1">
      <c r="A890" s="6"/>
      <c r="B890" s="6"/>
      <c r="C890" s="6"/>
      <c r="D890" s="6"/>
      <c r="E890" s="6"/>
      <c r="F890" s="6"/>
      <c r="G890" s="6"/>
      <c r="H890" s="93"/>
      <c r="I890" s="93"/>
      <c r="J890" s="93"/>
      <c r="K890" s="93"/>
      <c r="L890" s="93"/>
      <c r="M890" s="6"/>
      <c r="N890" s="6"/>
      <c r="O890" s="6"/>
      <c r="P890" s="6"/>
      <c r="Q890" s="6"/>
      <c r="R890" s="6"/>
      <c r="S890" s="6"/>
      <c r="T890" s="6"/>
      <c r="U890" s="6"/>
      <c r="V890" s="6"/>
      <c r="W890" s="6"/>
      <c r="X890" s="6"/>
      <c r="Y890" s="6"/>
      <c r="Z890" s="6"/>
      <c r="AA890" s="6"/>
      <c r="AB890" s="6"/>
    </row>
    <row r="891" ht="16.5" customHeight="1">
      <c r="A891" s="6"/>
      <c r="B891" s="6"/>
      <c r="C891" s="6"/>
      <c r="D891" s="6"/>
      <c r="E891" s="6"/>
      <c r="F891" s="6"/>
      <c r="G891" s="6"/>
      <c r="H891" s="93"/>
      <c r="I891" s="93"/>
      <c r="J891" s="93"/>
      <c r="K891" s="93"/>
      <c r="L891" s="93"/>
      <c r="M891" s="6"/>
      <c r="N891" s="6"/>
      <c r="O891" s="6"/>
      <c r="P891" s="6"/>
      <c r="Q891" s="6"/>
      <c r="R891" s="6"/>
      <c r="S891" s="6"/>
      <c r="T891" s="6"/>
      <c r="U891" s="6"/>
      <c r="V891" s="6"/>
      <c r="W891" s="6"/>
      <c r="X891" s="6"/>
      <c r="Y891" s="6"/>
      <c r="Z891" s="6"/>
      <c r="AA891" s="6"/>
      <c r="AB891" s="6"/>
    </row>
    <row r="892" ht="16.5" customHeight="1">
      <c r="A892" s="6"/>
      <c r="B892" s="6"/>
      <c r="C892" s="6"/>
      <c r="D892" s="6"/>
      <c r="E892" s="6"/>
      <c r="F892" s="6"/>
      <c r="G892" s="6"/>
      <c r="H892" s="93"/>
      <c r="I892" s="93"/>
      <c r="J892" s="93"/>
      <c r="K892" s="93"/>
      <c r="L892" s="93"/>
      <c r="M892" s="6"/>
      <c r="N892" s="6"/>
      <c r="O892" s="6"/>
      <c r="P892" s="6"/>
      <c r="Q892" s="6"/>
      <c r="R892" s="6"/>
      <c r="S892" s="6"/>
      <c r="T892" s="6"/>
      <c r="U892" s="6"/>
      <c r="V892" s="6"/>
      <c r="W892" s="6"/>
      <c r="X892" s="6"/>
      <c r="Y892" s="6"/>
      <c r="Z892" s="6"/>
      <c r="AA892" s="6"/>
      <c r="AB892" s="6"/>
    </row>
    <row r="893" ht="16.5" customHeight="1">
      <c r="A893" s="6"/>
      <c r="B893" s="6"/>
      <c r="C893" s="6"/>
      <c r="D893" s="6"/>
      <c r="E893" s="6"/>
      <c r="F893" s="6"/>
      <c r="G893" s="6"/>
      <c r="H893" s="93"/>
      <c r="I893" s="93"/>
      <c r="J893" s="93"/>
      <c r="K893" s="93"/>
      <c r="L893" s="93"/>
      <c r="M893" s="6"/>
      <c r="N893" s="6"/>
      <c r="O893" s="6"/>
      <c r="P893" s="6"/>
      <c r="Q893" s="6"/>
      <c r="R893" s="6"/>
      <c r="S893" s="6"/>
      <c r="T893" s="6"/>
      <c r="U893" s="6"/>
      <c r="V893" s="6"/>
      <c r="W893" s="6"/>
      <c r="X893" s="6"/>
      <c r="Y893" s="6"/>
      <c r="Z893" s="6"/>
      <c r="AA893" s="6"/>
      <c r="AB893" s="6"/>
    </row>
    <row r="894" ht="16.5" customHeight="1">
      <c r="A894" s="6"/>
      <c r="B894" s="6"/>
      <c r="C894" s="6"/>
      <c r="D894" s="6"/>
      <c r="E894" s="6"/>
      <c r="F894" s="6"/>
      <c r="G894" s="6"/>
      <c r="H894" s="93"/>
      <c r="I894" s="93"/>
      <c r="J894" s="93"/>
      <c r="K894" s="93"/>
      <c r="L894" s="93"/>
      <c r="M894" s="6"/>
      <c r="N894" s="6"/>
      <c r="O894" s="6"/>
      <c r="P894" s="6"/>
      <c r="Q894" s="6"/>
      <c r="R894" s="6"/>
      <c r="S894" s="6"/>
      <c r="T894" s="6"/>
      <c r="U894" s="6"/>
      <c r="V894" s="6"/>
      <c r="W894" s="6"/>
      <c r="X894" s="6"/>
      <c r="Y894" s="6"/>
      <c r="Z894" s="6"/>
      <c r="AA894" s="6"/>
      <c r="AB894" s="6"/>
    </row>
    <row r="895" ht="16.5" customHeight="1">
      <c r="A895" s="6"/>
      <c r="B895" s="6"/>
      <c r="C895" s="6"/>
      <c r="D895" s="6"/>
      <c r="E895" s="6"/>
      <c r="F895" s="6"/>
      <c r="G895" s="6"/>
      <c r="H895" s="93"/>
      <c r="I895" s="93"/>
      <c r="J895" s="93"/>
      <c r="K895" s="93"/>
      <c r="L895" s="93"/>
      <c r="M895" s="6"/>
      <c r="N895" s="6"/>
      <c r="O895" s="6"/>
      <c r="P895" s="6"/>
      <c r="Q895" s="6"/>
      <c r="R895" s="6"/>
      <c r="S895" s="6"/>
      <c r="T895" s="6"/>
      <c r="U895" s="6"/>
      <c r="V895" s="6"/>
      <c r="W895" s="6"/>
      <c r="X895" s="6"/>
      <c r="Y895" s="6"/>
      <c r="Z895" s="6"/>
      <c r="AA895" s="6"/>
      <c r="AB895" s="6"/>
    </row>
    <row r="896" ht="16.5" customHeight="1">
      <c r="A896" s="6"/>
      <c r="B896" s="6"/>
      <c r="C896" s="6"/>
      <c r="D896" s="6"/>
      <c r="E896" s="6"/>
      <c r="F896" s="6"/>
      <c r="G896" s="6"/>
      <c r="H896" s="93"/>
      <c r="I896" s="93"/>
      <c r="J896" s="93"/>
      <c r="K896" s="93"/>
      <c r="L896" s="93"/>
      <c r="M896" s="6"/>
      <c r="N896" s="6"/>
      <c r="O896" s="6"/>
      <c r="P896" s="6"/>
      <c r="Q896" s="6"/>
      <c r="R896" s="6"/>
      <c r="S896" s="6"/>
      <c r="T896" s="6"/>
      <c r="U896" s="6"/>
      <c r="V896" s="6"/>
      <c r="W896" s="6"/>
      <c r="X896" s="6"/>
      <c r="Y896" s="6"/>
      <c r="Z896" s="6"/>
      <c r="AA896" s="6"/>
      <c r="AB896" s="6"/>
    </row>
    <row r="897" ht="16.5" customHeight="1">
      <c r="A897" s="6"/>
      <c r="B897" s="6"/>
      <c r="C897" s="6"/>
      <c r="D897" s="6"/>
      <c r="E897" s="6"/>
      <c r="F897" s="6"/>
      <c r="G897" s="6"/>
      <c r="H897" s="93"/>
      <c r="I897" s="93"/>
      <c r="J897" s="93"/>
      <c r="K897" s="93"/>
      <c r="L897" s="93"/>
      <c r="M897" s="6"/>
      <c r="N897" s="6"/>
      <c r="O897" s="6"/>
      <c r="P897" s="6"/>
      <c r="Q897" s="6"/>
      <c r="R897" s="6"/>
      <c r="S897" s="6"/>
      <c r="T897" s="6"/>
      <c r="U897" s="6"/>
      <c r="V897" s="6"/>
      <c r="W897" s="6"/>
      <c r="X897" s="6"/>
      <c r="Y897" s="6"/>
      <c r="Z897" s="6"/>
      <c r="AA897" s="6"/>
      <c r="AB897" s="6"/>
    </row>
    <row r="898" ht="16.5" customHeight="1">
      <c r="A898" s="6"/>
      <c r="B898" s="6"/>
      <c r="C898" s="6"/>
      <c r="D898" s="6"/>
      <c r="E898" s="6"/>
      <c r="F898" s="6"/>
      <c r="G898" s="6"/>
      <c r="H898" s="93"/>
      <c r="I898" s="93"/>
      <c r="J898" s="93"/>
      <c r="K898" s="93"/>
      <c r="L898" s="93"/>
      <c r="M898" s="6"/>
      <c r="N898" s="6"/>
      <c r="O898" s="6"/>
      <c r="P898" s="6"/>
      <c r="Q898" s="6"/>
      <c r="R898" s="6"/>
      <c r="S898" s="6"/>
      <c r="T898" s="6"/>
      <c r="U898" s="6"/>
      <c r="V898" s="6"/>
      <c r="W898" s="6"/>
      <c r="X898" s="6"/>
      <c r="Y898" s="6"/>
      <c r="Z898" s="6"/>
      <c r="AA898" s="6"/>
      <c r="AB898" s="6"/>
    </row>
    <row r="899" ht="16.5" customHeight="1">
      <c r="A899" s="6"/>
      <c r="B899" s="6"/>
      <c r="C899" s="6"/>
      <c r="D899" s="6"/>
      <c r="E899" s="6"/>
      <c r="F899" s="6"/>
      <c r="G899" s="6"/>
      <c r="H899" s="93"/>
      <c r="I899" s="93"/>
      <c r="J899" s="93"/>
      <c r="K899" s="93"/>
      <c r="L899" s="93"/>
      <c r="M899" s="6"/>
      <c r="N899" s="6"/>
      <c r="O899" s="6"/>
      <c r="P899" s="6"/>
      <c r="Q899" s="6"/>
      <c r="R899" s="6"/>
      <c r="S899" s="6"/>
      <c r="T899" s="6"/>
      <c r="U899" s="6"/>
      <c r="V899" s="6"/>
      <c r="W899" s="6"/>
      <c r="X899" s="6"/>
      <c r="Y899" s="6"/>
      <c r="Z899" s="6"/>
      <c r="AA899" s="6"/>
      <c r="AB899" s="6"/>
    </row>
    <row r="900" ht="16.5" customHeight="1">
      <c r="A900" s="6"/>
      <c r="B900" s="6"/>
      <c r="C900" s="6"/>
      <c r="D900" s="6"/>
      <c r="E900" s="6"/>
      <c r="F900" s="6"/>
      <c r="G900" s="6"/>
      <c r="H900" s="93"/>
      <c r="I900" s="93"/>
      <c r="J900" s="93"/>
      <c r="K900" s="93"/>
      <c r="L900" s="93"/>
      <c r="M900" s="6"/>
      <c r="N900" s="6"/>
      <c r="O900" s="6"/>
      <c r="P900" s="6"/>
      <c r="Q900" s="6"/>
      <c r="R900" s="6"/>
      <c r="S900" s="6"/>
      <c r="T900" s="6"/>
      <c r="U900" s="6"/>
      <c r="V900" s="6"/>
      <c r="W900" s="6"/>
      <c r="X900" s="6"/>
      <c r="Y900" s="6"/>
      <c r="Z900" s="6"/>
      <c r="AA900" s="6"/>
      <c r="AB900" s="6"/>
    </row>
    <row r="901" ht="16.5" customHeight="1">
      <c r="A901" s="6"/>
      <c r="B901" s="6"/>
      <c r="C901" s="6"/>
      <c r="D901" s="6"/>
      <c r="E901" s="6"/>
      <c r="F901" s="6"/>
      <c r="G901" s="6"/>
      <c r="H901" s="93"/>
      <c r="I901" s="93"/>
      <c r="J901" s="93"/>
      <c r="K901" s="93"/>
      <c r="L901" s="93"/>
      <c r="M901" s="6"/>
      <c r="N901" s="6"/>
      <c r="O901" s="6"/>
      <c r="P901" s="6"/>
      <c r="Q901" s="6"/>
      <c r="R901" s="6"/>
      <c r="S901" s="6"/>
      <c r="T901" s="6"/>
      <c r="U901" s="6"/>
      <c r="V901" s="6"/>
      <c r="W901" s="6"/>
      <c r="X901" s="6"/>
      <c r="Y901" s="6"/>
      <c r="Z901" s="6"/>
      <c r="AA901" s="6"/>
      <c r="AB901" s="6"/>
    </row>
    <row r="902" ht="16.5" customHeight="1">
      <c r="A902" s="6"/>
      <c r="B902" s="6"/>
      <c r="C902" s="6"/>
      <c r="D902" s="6"/>
      <c r="E902" s="6"/>
      <c r="F902" s="6"/>
      <c r="G902" s="6"/>
      <c r="H902" s="93"/>
      <c r="I902" s="93"/>
      <c r="J902" s="93"/>
      <c r="K902" s="93"/>
      <c r="L902" s="93"/>
      <c r="M902" s="6"/>
      <c r="N902" s="6"/>
      <c r="O902" s="6"/>
      <c r="P902" s="6"/>
      <c r="Q902" s="6"/>
      <c r="R902" s="6"/>
      <c r="S902" s="6"/>
      <c r="T902" s="6"/>
      <c r="U902" s="6"/>
      <c r="V902" s="6"/>
      <c r="W902" s="6"/>
      <c r="X902" s="6"/>
      <c r="Y902" s="6"/>
      <c r="Z902" s="6"/>
      <c r="AA902" s="6"/>
      <c r="AB902" s="6"/>
    </row>
    <row r="903" ht="16.5" customHeight="1">
      <c r="A903" s="6"/>
      <c r="B903" s="6"/>
      <c r="C903" s="6"/>
      <c r="D903" s="6"/>
      <c r="E903" s="6"/>
      <c r="F903" s="6"/>
      <c r="G903" s="6"/>
      <c r="H903" s="93"/>
      <c r="I903" s="93"/>
      <c r="J903" s="93"/>
      <c r="K903" s="93"/>
      <c r="L903" s="93"/>
      <c r="M903" s="6"/>
      <c r="N903" s="6"/>
      <c r="O903" s="6"/>
      <c r="P903" s="6"/>
      <c r="Q903" s="6"/>
      <c r="R903" s="6"/>
      <c r="S903" s="6"/>
      <c r="T903" s="6"/>
      <c r="U903" s="6"/>
      <c r="V903" s="6"/>
      <c r="W903" s="6"/>
      <c r="X903" s="6"/>
      <c r="Y903" s="6"/>
      <c r="Z903" s="6"/>
      <c r="AA903" s="6"/>
      <c r="AB903" s="6"/>
    </row>
    <row r="904" ht="16.5" customHeight="1">
      <c r="A904" s="6"/>
      <c r="B904" s="6"/>
      <c r="C904" s="6"/>
      <c r="D904" s="6"/>
      <c r="E904" s="6"/>
      <c r="F904" s="6"/>
      <c r="G904" s="6"/>
      <c r="H904" s="93"/>
      <c r="I904" s="93"/>
      <c r="J904" s="93"/>
      <c r="K904" s="93"/>
      <c r="L904" s="93"/>
      <c r="M904" s="6"/>
      <c r="N904" s="6"/>
      <c r="O904" s="6"/>
      <c r="P904" s="6"/>
      <c r="Q904" s="6"/>
      <c r="R904" s="6"/>
      <c r="S904" s="6"/>
      <c r="T904" s="6"/>
      <c r="U904" s="6"/>
      <c r="V904" s="6"/>
      <c r="W904" s="6"/>
      <c r="X904" s="6"/>
      <c r="Y904" s="6"/>
      <c r="Z904" s="6"/>
      <c r="AA904" s="6"/>
      <c r="AB904" s="6"/>
    </row>
    <row r="905" ht="16.5" customHeight="1">
      <c r="A905" s="6"/>
      <c r="B905" s="6"/>
      <c r="C905" s="6"/>
      <c r="D905" s="6"/>
      <c r="E905" s="6"/>
      <c r="F905" s="6"/>
      <c r="G905" s="6"/>
      <c r="H905" s="93"/>
      <c r="I905" s="93"/>
      <c r="J905" s="93"/>
      <c r="K905" s="93"/>
      <c r="L905" s="93"/>
      <c r="M905" s="6"/>
      <c r="N905" s="6"/>
      <c r="O905" s="6"/>
      <c r="P905" s="6"/>
      <c r="Q905" s="6"/>
      <c r="R905" s="6"/>
      <c r="S905" s="6"/>
      <c r="T905" s="6"/>
      <c r="U905" s="6"/>
      <c r="V905" s="6"/>
      <c r="W905" s="6"/>
      <c r="X905" s="6"/>
      <c r="Y905" s="6"/>
      <c r="Z905" s="6"/>
      <c r="AA905" s="6"/>
      <c r="AB905" s="6"/>
    </row>
    <row r="906" ht="16.5" customHeight="1">
      <c r="A906" s="6"/>
      <c r="B906" s="6"/>
      <c r="C906" s="6"/>
      <c r="D906" s="6"/>
      <c r="E906" s="6"/>
      <c r="F906" s="6"/>
      <c r="G906" s="6"/>
      <c r="H906" s="93"/>
      <c r="I906" s="93"/>
      <c r="J906" s="93"/>
      <c r="K906" s="93"/>
      <c r="L906" s="93"/>
      <c r="M906" s="6"/>
      <c r="N906" s="6"/>
      <c r="O906" s="6"/>
      <c r="P906" s="6"/>
      <c r="Q906" s="6"/>
      <c r="R906" s="6"/>
      <c r="S906" s="6"/>
      <c r="T906" s="6"/>
      <c r="U906" s="6"/>
      <c r="V906" s="6"/>
      <c r="W906" s="6"/>
      <c r="X906" s="6"/>
      <c r="Y906" s="6"/>
      <c r="Z906" s="6"/>
      <c r="AA906" s="6"/>
      <c r="AB906" s="6"/>
    </row>
    <row r="907" ht="16.5" customHeight="1">
      <c r="A907" s="6"/>
      <c r="B907" s="6"/>
      <c r="C907" s="6"/>
      <c r="D907" s="6"/>
      <c r="E907" s="6"/>
      <c r="F907" s="6"/>
      <c r="G907" s="6"/>
      <c r="H907" s="93"/>
      <c r="I907" s="93"/>
      <c r="J907" s="93"/>
      <c r="K907" s="93"/>
      <c r="L907" s="93"/>
      <c r="M907" s="6"/>
      <c r="N907" s="6"/>
      <c r="O907" s="6"/>
      <c r="P907" s="6"/>
      <c r="Q907" s="6"/>
      <c r="R907" s="6"/>
      <c r="S907" s="6"/>
      <c r="T907" s="6"/>
      <c r="U907" s="6"/>
      <c r="V907" s="6"/>
      <c r="W907" s="6"/>
      <c r="X907" s="6"/>
      <c r="Y907" s="6"/>
      <c r="Z907" s="6"/>
      <c r="AA907" s="6"/>
      <c r="AB907" s="6"/>
    </row>
    <row r="908" ht="16.5" customHeight="1">
      <c r="A908" s="6"/>
      <c r="B908" s="6"/>
      <c r="C908" s="6"/>
      <c r="D908" s="6"/>
      <c r="E908" s="6"/>
      <c r="F908" s="6"/>
      <c r="G908" s="6"/>
      <c r="H908" s="93"/>
      <c r="I908" s="93"/>
      <c r="J908" s="93"/>
      <c r="K908" s="93"/>
      <c r="L908" s="93"/>
      <c r="M908" s="6"/>
      <c r="N908" s="6"/>
      <c r="O908" s="6"/>
      <c r="P908" s="6"/>
      <c r="Q908" s="6"/>
      <c r="R908" s="6"/>
      <c r="S908" s="6"/>
      <c r="T908" s="6"/>
      <c r="U908" s="6"/>
      <c r="V908" s="6"/>
      <c r="W908" s="6"/>
      <c r="X908" s="6"/>
      <c r="Y908" s="6"/>
      <c r="Z908" s="6"/>
      <c r="AA908" s="6"/>
      <c r="AB908" s="6"/>
    </row>
    <row r="909" ht="16.5" customHeight="1">
      <c r="A909" s="6"/>
      <c r="B909" s="6"/>
      <c r="C909" s="6"/>
      <c r="D909" s="6"/>
      <c r="E909" s="6"/>
      <c r="F909" s="6"/>
      <c r="G909" s="6"/>
      <c r="H909" s="93"/>
      <c r="I909" s="93"/>
      <c r="J909" s="93"/>
      <c r="K909" s="93"/>
      <c r="L909" s="93"/>
      <c r="M909" s="6"/>
      <c r="N909" s="6"/>
      <c r="O909" s="6"/>
      <c r="P909" s="6"/>
      <c r="Q909" s="6"/>
      <c r="R909" s="6"/>
      <c r="S909" s="6"/>
      <c r="T909" s="6"/>
      <c r="U909" s="6"/>
      <c r="V909" s="6"/>
      <c r="W909" s="6"/>
      <c r="X909" s="6"/>
      <c r="Y909" s="6"/>
      <c r="Z909" s="6"/>
      <c r="AA909" s="6"/>
      <c r="AB909" s="6"/>
    </row>
    <row r="910" ht="16.5" customHeight="1">
      <c r="A910" s="6"/>
      <c r="B910" s="6"/>
      <c r="C910" s="6"/>
      <c r="D910" s="6"/>
      <c r="E910" s="6"/>
      <c r="F910" s="6"/>
      <c r="G910" s="6"/>
      <c r="H910" s="93"/>
      <c r="I910" s="93"/>
      <c r="J910" s="93"/>
      <c r="K910" s="93"/>
      <c r="L910" s="93"/>
      <c r="M910" s="6"/>
      <c r="N910" s="6"/>
      <c r="O910" s="6"/>
      <c r="P910" s="6"/>
      <c r="Q910" s="6"/>
      <c r="R910" s="6"/>
      <c r="S910" s="6"/>
      <c r="T910" s="6"/>
      <c r="U910" s="6"/>
      <c r="V910" s="6"/>
      <c r="W910" s="6"/>
      <c r="X910" s="6"/>
      <c r="Y910" s="6"/>
      <c r="Z910" s="6"/>
      <c r="AA910" s="6"/>
      <c r="AB910" s="6"/>
    </row>
    <row r="911" ht="16.5" customHeight="1">
      <c r="A911" s="6"/>
      <c r="B911" s="6"/>
      <c r="C911" s="6"/>
      <c r="D911" s="6"/>
      <c r="E911" s="6"/>
      <c r="F911" s="6"/>
      <c r="G911" s="6"/>
      <c r="H911" s="93"/>
      <c r="I911" s="93"/>
      <c r="J911" s="93"/>
      <c r="K911" s="93"/>
      <c r="L911" s="93"/>
      <c r="M911" s="6"/>
      <c r="N911" s="6"/>
      <c r="O911" s="6"/>
      <c r="P911" s="6"/>
      <c r="Q911" s="6"/>
      <c r="R911" s="6"/>
      <c r="S911" s="6"/>
      <c r="T911" s="6"/>
      <c r="U911" s="6"/>
      <c r="V911" s="6"/>
      <c r="W911" s="6"/>
      <c r="X911" s="6"/>
      <c r="Y911" s="6"/>
      <c r="Z911" s="6"/>
      <c r="AA911" s="6"/>
      <c r="AB911" s="6"/>
    </row>
    <row r="912" ht="16.5" customHeight="1">
      <c r="A912" s="6"/>
      <c r="B912" s="6"/>
      <c r="C912" s="6"/>
      <c r="D912" s="6"/>
      <c r="E912" s="6"/>
      <c r="F912" s="6"/>
      <c r="G912" s="6"/>
      <c r="H912" s="93"/>
      <c r="I912" s="93"/>
      <c r="J912" s="93"/>
      <c r="K912" s="93"/>
      <c r="L912" s="93"/>
      <c r="M912" s="6"/>
      <c r="N912" s="6"/>
      <c r="O912" s="6"/>
      <c r="P912" s="6"/>
      <c r="Q912" s="6"/>
      <c r="R912" s="6"/>
      <c r="S912" s="6"/>
      <c r="T912" s="6"/>
      <c r="U912" s="6"/>
      <c r="V912" s="6"/>
      <c r="W912" s="6"/>
      <c r="X912" s="6"/>
      <c r="Y912" s="6"/>
      <c r="Z912" s="6"/>
      <c r="AA912" s="6"/>
      <c r="AB912" s="6"/>
    </row>
    <row r="913" ht="16.5" customHeight="1">
      <c r="A913" s="6"/>
      <c r="B913" s="6"/>
      <c r="C913" s="6"/>
      <c r="D913" s="6"/>
      <c r="E913" s="6"/>
      <c r="F913" s="6"/>
      <c r="G913" s="6"/>
      <c r="H913" s="93"/>
      <c r="I913" s="93"/>
      <c r="J913" s="93"/>
      <c r="K913" s="93"/>
      <c r="L913" s="93"/>
      <c r="M913" s="6"/>
      <c r="N913" s="6"/>
      <c r="O913" s="6"/>
      <c r="P913" s="6"/>
      <c r="Q913" s="6"/>
      <c r="R913" s="6"/>
      <c r="S913" s="6"/>
      <c r="T913" s="6"/>
      <c r="U913" s="6"/>
      <c r="V913" s="6"/>
      <c r="W913" s="6"/>
      <c r="X913" s="6"/>
      <c r="Y913" s="6"/>
      <c r="Z913" s="6"/>
      <c r="AA913" s="6"/>
      <c r="AB913" s="6"/>
    </row>
    <row r="914" ht="16.5" customHeight="1">
      <c r="A914" s="6"/>
      <c r="B914" s="6"/>
      <c r="C914" s="6"/>
      <c r="D914" s="6"/>
      <c r="E914" s="6"/>
      <c r="F914" s="6"/>
      <c r="G914" s="6"/>
      <c r="H914" s="93"/>
      <c r="I914" s="93"/>
      <c r="J914" s="93"/>
      <c r="K914" s="93"/>
      <c r="L914" s="93"/>
      <c r="M914" s="6"/>
      <c r="N914" s="6"/>
      <c r="O914" s="6"/>
      <c r="P914" s="6"/>
      <c r="Q914" s="6"/>
      <c r="R914" s="6"/>
      <c r="S914" s="6"/>
      <c r="T914" s="6"/>
      <c r="U914" s="6"/>
      <c r="V914" s="6"/>
      <c r="W914" s="6"/>
      <c r="X914" s="6"/>
      <c r="Y914" s="6"/>
      <c r="Z914" s="6"/>
      <c r="AA914" s="6"/>
      <c r="AB914" s="6"/>
    </row>
    <row r="915" ht="16.5" customHeight="1">
      <c r="A915" s="6"/>
      <c r="B915" s="6"/>
      <c r="C915" s="6"/>
      <c r="D915" s="6"/>
      <c r="E915" s="6"/>
      <c r="F915" s="6"/>
      <c r="G915" s="6"/>
      <c r="H915" s="93"/>
      <c r="I915" s="93"/>
      <c r="J915" s="93"/>
      <c r="K915" s="93"/>
      <c r="L915" s="93"/>
      <c r="M915" s="6"/>
      <c r="N915" s="6"/>
      <c r="O915" s="6"/>
      <c r="P915" s="6"/>
      <c r="Q915" s="6"/>
      <c r="R915" s="6"/>
      <c r="S915" s="6"/>
      <c r="T915" s="6"/>
      <c r="U915" s="6"/>
      <c r="V915" s="6"/>
      <c r="W915" s="6"/>
      <c r="X915" s="6"/>
      <c r="Y915" s="6"/>
      <c r="Z915" s="6"/>
      <c r="AA915" s="6"/>
      <c r="AB915" s="6"/>
    </row>
    <row r="916" ht="16.5" customHeight="1">
      <c r="A916" s="6"/>
      <c r="B916" s="6"/>
      <c r="C916" s="6"/>
      <c r="D916" s="6"/>
      <c r="E916" s="6"/>
      <c r="F916" s="6"/>
      <c r="G916" s="6"/>
      <c r="H916" s="93"/>
      <c r="I916" s="93"/>
      <c r="J916" s="93"/>
      <c r="K916" s="93"/>
      <c r="L916" s="93"/>
      <c r="M916" s="6"/>
      <c r="N916" s="6"/>
      <c r="O916" s="6"/>
      <c r="P916" s="6"/>
      <c r="Q916" s="6"/>
      <c r="R916" s="6"/>
      <c r="S916" s="6"/>
      <c r="T916" s="6"/>
      <c r="U916" s="6"/>
      <c r="V916" s="6"/>
      <c r="W916" s="6"/>
      <c r="X916" s="6"/>
      <c r="Y916" s="6"/>
      <c r="Z916" s="6"/>
      <c r="AA916" s="6"/>
      <c r="AB916" s="6"/>
    </row>
    <row r="917" ht="16.5" customHeight="1">
      <c r="A917" s="6"/>
      <c r="B917" s="6"/>
      <c r="C917" s="6"/>
      <c r="D917" s="6"/>
      <c r="E917" s="6"/>
      <c r="F917" s="6"/>
      <c r="G917" s="6"/>
      <c r="H917" s="93"/>
      <c r="I917" s="93"/>
      <c r="J917" s="93"/>
      <c r="K917" s="93"/>
      <c r="L917" s="93"/>
      <c r="M917" s="6"/>
      <c r="N917" s="6"/>
      <c r="O917" s="6"/>
      <c r="P917" s="6"/>
      <c r="Q917" s="6"/>
      <c r="R917" s="6"/>
      <c r="S917" s="6"/>
      <c r="T917" s="6"/>
      <c r="U917" s="6"/>
      <c r="V917" s="6"/>
      <c r="W917" s="6"/>
      <c r="X917" s="6"/>
      <c r="Y917" s="6"/>
      <c r="Z917" s="6"/>
      <c r="AA917" s="6"/>
      <c r="AB917" s="6"/>
    </row>
    <row r="918" ht="16.5" customHeight="1">
      <c r="A918" s="6"/>
      <c r="B918" s="6"/>
      <c r="C918" s="6"/>
      <c r="D918" s="6"/>
      <c r="E918" s="6"/>
      <c r="F918" s="6"/>
      <c r="G918" s="6"/>
      <c r="H918" s="93"/>
      <c r="I918" s="93"/>
      <c r="J918" s="93"/>
      <c r="K918" s="93"/>
      <c r="L918" s="93"/>
      <c r="M918" s="6"/>
      <c r="N918" s="6"/>
      <c r="O918" s="6"/>
      <c r="P918" s="6"/>
      <c r="Q918" s="6"/>
      <c r="R918" s="6"/>
      <c r="S918" s="6"/>
      <c r="T918" s="6"/>
      <c r="U918" s="6"/>
      <c r="V918" s="6"/>
      <c r="W918" s="6"/>
      <c r="X918" s="6"/>
      <c r="Y918" s="6"/>
      <c r="Z918" s="6"/>
      <c r="AA918" s="6"/>
      <c r="AB918" s="6"/>
    </row>
    <row r="919" ht="16.5" customHeight="1">
      <c r="A919" s="6"/>
      <c r="B919" s="6"/>
      <c r="C919" s="6"/>
      <c r="D919" s="6"/>
      <c r="E919" s="6"/>
      <c r="F919" s="6"/>
      <c r="G919" s="6"/>
      <c r="H919" s="93"/>
      <c r="I919" s="93"/>
      <c r="J919" s="93"/>
      <c r="K919" s="93"/>
      <c r="L919" s="93"/>
      <c r="M919" s="6"/>
      <c r="N919" s="6"/>
      <c r="O919" s="6"/>
      <c r="P919" s="6"/>
      <c r="Q919" s="6"/>
      <c r="R919" s="6"/>
      <c r="S919" s="6"/>
      <c r="T919" s="6"/>
      <c r="U919" s="6"/>
      <c r="V919" s="6"/>
      <c r="W919" s="6"/>
      <c r="X919" s="6"/>
      <c r="Y919" s="6"/>
      <c r="Z919" s="6"/>
      <c r="AA919" s="6"/>
      <c r="AB919" s="6"/>
    </row>
    <row r="920" ht="16.5" customHeight="1">
      <c r="A920" s="6"/>
      <c r="B920" s="6"/>
      <c r="C920" s="6"/>
      <c r="D920" s="6"/>
      <c r="E920" s="6"/>
      <c r="F920" s="6"/>
      <c r="G920" s="6"/>
      <c r="H920" s="93"/>
      <c r="I920" s="93"/>
      <c r="J920" s="93"/>
      <c r="K920" s="93"/>
      <c r="L920" s="93"/>
      <c r="M920" s="6"/>
      <c r="N920" s="6"/>
      <c r="O920" s="6"/>
      <c r="P920" s="6"/>
      <c r="Q920" s="6"/>
      <c r="R920" s="6"/>
      <c r="S920" s="6"/>
      <c r="T920" s="6"/>
      <c r="U920" s="6"/>
      <c r="V920" s="6"/>
      <c r="W920" s="6"/>
      <c r="X920" s="6"/>
      <c r="Y920" s="6"/>
      <c r="Z920" s="6"/>
      <c r="AA920" s="6"/>
      <c r="AB920" s="6"/>
    </row>
    <row r="921" ht="16.5" customHeight="1">
      <c r="A921" s="6"/>
      <c r="B921" s="6"/>
      <c r="C921" s="6"/>
      <c r="D921" s="6"/>
      <c r="E921" s="6"/>
      <c r="F921" s="6"/>
      <c r="G921" s="6"/>
      <c r="H921" s="93"/>
      <c r="I921" s="93"/>
      <c r="J921" s="93"/>
      <c r="K921" s="93"/>
      <c r="L921" s="93"/>
      <c r="M921" s="6"/>
      <c r="N921" s="6"/>
      <c r="O921" s="6"/>
      <c r="P921" s="6"/>
      <c r="Q921" s="6"/>
      <c r="R921" s="6"/>
      <c r="S921" s="6"/>
      <c r="T921" s="6"/>
      <c r="U921" s="6"/>
      <c r="V921" s="6"/>
      <c r="W921" s="6"/>
      <c r="X921" s="6"/>
      <c r="Y921" s="6"/>
      <c r="Z921" s="6"/>
      <c r="AA921" s="6"/>
      <c r="AB921" s="6"/>
    </row>
    <row r="922" ht="16.5" customHeight="1">
      <c r="A922" s="6"/>
      <c r="B922" s="6"/>
      <c r="C922" s="6"/>
      <c r="D922" s="6"/>
      <c r="E922" s="6"/>
      <c r="F922" s="6"/>
      <c r="G922" s="6"/>
      <c r="H922" s="93"/>
      <c r="I922" s="93"/>
      <c r="J922" s="93"/>
      <c r="K922" s="93"/>
      <c r="L922" s="93"/>
      <c r="M922" s="6"/>
      <c r="N922" s="6"/>
      <c r="O922" s="6"/>
      <c r="P922" s="6"/>
      <c r="Q922" s="6"/>
      <c r="R922" s="6"/>
      <c r="S922" s="6"/>
      <c r="T922" s="6"/>
      <c r="U922" s="6"/>
      <c r="V922" s="6"/>
      <c r="W922" s="6"/>
      <c r="X922" s="6"/>
      <c r="Y922" s="6"/>
      <c r="Z922" s="6"/>
      <c r="AA922" s="6"/>
      <c r="AB922" s="6"/>
    </row>
    <row r="923" ht="16.5" customHeight="1">
      <c r="A923" s="6"/>
      <c r="B923" s="6"/>
      <c r="C923" s="6"/>
      <c r="D923" s="6"/>
      <c r="E923" s="6"/>
      <c r="F923" s="6"/>
      <c r="G923" s="6"/>
      <c r="H923" s="93"/>
      <c r="I923" s="93"/>
      <c r="J923" s="93"/>
      <c r="K923" s="93"/>
      <c r="L923" s="93"/>
      <c r="M923" s="6"/>
      <c r="N923" s="6"/>
      <c r="O923" s="6"/>
      <c r="P923" s="6"/>
      <c r="Q923" s="6"/>
      <c r="R923" s="6"/>
      <c r="S923" s="6"/>
      <c r="T923" s="6"/>
      <c r="U923" s="6"/>
      <c r="V923" s="6"/>
      <c r="W923" s="6"/>
      <c r="X923" s="6"/>
      <c r="Y923" s="6"/>
      <c r="Z923" s="6"/>
      <c r="AA923" s="6"/>
      <c r="AB923" s="6"/>
    </row>
    <row r="924" ht="16.5" customHeight="1">
      <c r="A924" s="6"/>
      <c r="B924" s="6"/>
      <c r="C924" s="6"/>
      <c r="D924" s="6"/>
      <c r="E924" s="6"/>
      <c r="F924" s="6"/>
      <c r="G924" s="6"/>
      <c r="H924" s="93"/>
      <c r="I924" s="93"/>
      <c r="J924" s="93"/>
      <c r="K924" s="93"/>
      <c r="L924" s="93"/>
      <c r="M924" s="6"/>
      <c r="N924" s="6"/>
      <c r="O924" s="6"/>
      <c r="P924" s="6"/>
      <c r="Q924" s="6"/>
      <c r="R924" s="6"/>
      <c r="S924" s="6"/>
      <c r="T924" s="6"/>
      <c r="U924" s="6"/>
      <c r="V924" s="6"/>
      <c r="W924" s="6"/>
      <c r="X924" s="6"/>
      <c r="Y924" s="6"/>
      <c r="Z924" s="6"/>
      <c r="AA924" s="6"/>
      <c r="AB924" s="6"/>
    </row>
    <row r="925" ht="16.5" customHeight="1">
      <c r="A925" s="6"/>
      <c r="B925" s="6"/>
      <c r="C925" s="6"/>
      <c r="D925" s="6"/>
      <c r="E925" s="6"/>
      <c r="F925" s="6"/>
      <c r="G925" s="6"/>
      <c r="H925" s="93"/>
      <c r="I925" s="93"/>
      <c r="J925" s="93"/>
      <c r="K925" s="93"/>
      <c r="L925" s="93"/>
      <c r="M925" s="6"/>
      <c r="N925" s="6"/>
      <c r="O925" s="6"/>
      <c r="P925" s="6"/>
      <c r="Q925" s="6"/>
      <c r="R925" s="6"/>
      <c r="S925" s="6"/>
      <c r="T925" s="6"/>
      <c r="U925" s="6"/>
      <c r="V925" s="6"/>
      <c r="W925" s="6"/>
      <c r="X925" s="6"/>
      <c r="Y925" s="6"/>
      <c r="Z925" s="6"/>
      <c r="AA925" s="6"/>
      <c r="AB925" s="6"/>
    </row>
    <row r="926" ht="16.5" customHeight="1">
      <c r="A926" s="6"/>
      <c r="B926" s="6"/>
      <c r="C926" s="6"/>
      <c r="D926" s="6"/>
      <c r="E926" s="6"/>
      <c r="F926" s="6"/>
      <c r="G926" s="6"/>
      <c r="H926" s="93"/>
      <c r="I926" s="93"/>
      <c r="J926" s="93"/>
      <c r="K926" s="93"/>
      <c r="L926" s="93"/>
      <c r="M926" s="6"/>
      <c r="N926" s="6"/>
      <c r="O926" s="6"/>
      <c r="P926" s="6"/>
      <c r="Q926" s="6"/>
      <c r="R926" s="6"/>
      <c r="S926" s="6"/>
      <c r="T926" s="6"/>
      <c r="U926" s="6"/>
      <c r="V926" s="6"/>
      <c r="W926" s="6"/>
      <c r="X926" s="6"/>
      <c r="Y926" s="6"/>
      <c r="Z926" s="6"/>
      <c r="AA926" s="6"/>
      <c r="AB926" s="6"/>
    </row>
    <row r="927" ht="16.5" customHeight="1">
      <c r="A927" s="6"/>
      <c r="B927" s="6"/>
      <c r="C927" s="6"/>
      <c r="D927" s="6"/>
      <c r="E927" s="6"/>
      <c r="F927" s="6"/>
      <c r="G927" s="6"/>
      <c r="H927" s="93"/>
      <c r="I927" s="93"/>
      <c r="J927" s="93"/>
      <c r="K927" s="93"/>
      <c r="L927" s="93"/>
      <c r="M927" s="6"/>
      <c r="N927" s="6"/>
      <c r="O927" s="6"/>
      <c r="P927" s="6"/>
      <c r="Q927" s="6"/>
      <c r="R927" s="6"/>
      <c r="S927" s="6"/>
      <c r="T927" s="6"/>
      <c r="U927" s="6"/>
      <c r="V927" s="6"/>
      <c r="W927" s="6"/>
      <c r="X927" s="6"/>
      <c r="Y927" s="6"/>
      <c r="Z927" s="6"/>
      <c r="AA927" s="6"/>
      <c r="AB927" s="6"/>
    </row>
    <row r="928" ht="16.5" customHeight="1">
      <c r="A928" s="6"/>
      <c r="B928" s="6"/>
      <c r="C928" s="6"/>
      <c r="D928" s="6"/>
      <c r="E928" s="6"/>
      <c r="F928" s="6"/>
      <c r="G928" s="6"/>
      <c r="H928" s="93"/>
      <c r="I928" s="93"/>
      <c r="J928" s="93"/>
      <c r="K928" s="93"/>
      <c r="L928" s="93"/>
      <c r="M928" s="6"/>
      <c r="N928" s="6"/>
      <c r="O928" s="6"/>
      <c r="P928" s="6"/>
      <c r="Q928" s="6"/>
      <c r="R928" s="6"/>
      <c r="S928" s="6"/>
      <c r="T928" s="6"/>
      <c r="U928" s="6"/>
      <c r="V928" s="6"/>
      <c r="W928" s="6"/>
      <c r="X928" s="6"/>
      <c r="Y928" s="6"/>
      <c r="Z928" s="6"/>
      <c r="AA928" s="6"/>
      <c r="AB928" s="6"/>
    </row>
    <row r="929" ht="16.5" customHeight="1">
      <c r="A929" s="6"/>
      <c r="B929" s="6"/>
      <c r="C929" s="6"/>
      <c r="D929" s="6"/>
      <c r="E929" s="6"/>
      <c r="F929" s="6"/>
      <c r="G929" s="6"/>
      <c r="H929" s="93"/>
      <c r="I929" s="93"/>
      <c r="J929" s="93"/>
      <c r="K929" s="93"/>
      <c r="L929" s="93"/>
      <c r="M929" s="6"/>
      <c r="N929" s="6"/>
      <c r="O929" s="6"/>
      <c r="P929" s="6"/>
      <c r="Q929" s="6"/>
      <c r="R929" s="6"/>
      <c r="S929" s="6"/>
      <c r="T929" s="6"/>
      <c r="U929" s="6"/>
      <c r="V929" s="6"/>
      <c r="W929" s="6"/>
      <c r="X929" s="6"/>
      <c r="Y929" s="6"/>
      <c r="Z929" s="6"/>
      <c r="AA929" s="6"/>
      <c r="AB929" s="6"/>
    </row>
    <row r="930" ht="16.5" customHeight="1">
      <c r="A930" s="6"/>
      <c r="B930" s="6"/>
      <c r="C930" s="6"/>
      <c r="D930" s="6"/>
      <c r="E930" s="6"/>
      <c r="F930" s="6"/>
      <c r="G930" s="6"/>
      <c r="H930" s="93"/>
      <c r="I930" s="93"/>
      <c r="J930" s="93"/>
      <c r="K930" s="93"/>
      <c r="L930" s="93"/>
      <c r="M930" s="6"/>
      <c r="N930" s="6"/>
      <c r="O930" s="6"/>
      <c r="P930" s="6"/>
      <c r="Q930" s="6"/>
      <c r="R930" s="6"/>
      <c r="S930" s="6"/>
      <c r="T930" s="6"/>
      <c r="U930" s="6"/>
      <c r="V930" s="6"/>
      <c r="W930" s="6"/>
      <c r="X930" s="6"/>
      <c r="Y930" s="6"/>
      <c r="Z930" s="6"/>
      <c r="AA930" s="6"/>
      <c r="AB930" s="6"/>
    </row>
    <row r="931" ht="16.5" customHeight="1">
      <c r="A931" s="6"/>
      <c r="B931" s="6"/>
      <c r="C931" s="6"/>
      <c r="D931" s="6"/>
      <c r="E931" s="6"/>
      <c r="F931" s="6"/>
      <c r="G931" s="6"/>
      <c r="H931" s="93"/>
      <c r="I931" s="93"/>
      <c r="J931" s="93"/>
      <c r="K931" s="93"/>
      <c r="L931" s="93"/>
      <c r="M931" s="6"/>
      <c r="N931" s="6"/>
      <c r="O931" s="6"/>
      <c r="P931" s="6"/>
      <c r="Q931" s="6"/>
      <c r="R931" s="6"/>
      <c r="S931" s="6"/>
      <c r="T931" s="6"/>
      <c r="U931" s="6"/>
      <c r="V931" s="6"/>
      <c r="W931" s="6"/>
      <c r="X931" s="6"/>
      <c r="Y931" s="6"/>
      <c r="Z931" s="6"/>
      <c r="AA931" s="6"/>
      <c r="AB931" s="6"/>
    </row>
    <row r="932" ht="16.5" customHeight="1">
      <c r="A932" s="6"/>
      <c r="B932" s="6"/>
      <c r="C932" s="6"/>
      <c r="D932" s="6"/>
      <c r="E932" s="6"/>
      <c r="F932" s="6"/>
      <c r="G932" s="6"/>
      <c r="H932" s="93"/>
      <c r="I932" s="93"/>
      <c r="J932" s="93"/>
      <c r="K932" s="93"/>
      <c r="L932" s="93"/>
      <c r="M932" s="6"/>
      <c r="N932" s="6"/>
      <c r="O932" s="6"/>
      <c r="P932" s="6"/>
      <c r="Q932" s="6"/>
      <c r="R932" s="6"/>
      <c r="S932" s="6"/>
      <c r="T932" s="6"/>
      <c r="U932" s="6"/>
      <c r="V932" s="6"/>
      <c r="W932" s="6"/>
      <c r="X932" s="6"/>
      <c r="Y932" s="6"/>
      <c r="Z932" s="6"/>
      <c r="AA932" s="6"/>
      <c r="AB932" s="6"/>
    </row>
    <row r="933" ht="16.5" customHeight="1">
      <c r="A933" s="6"/>
      <c r="B933" s="6"/>
      <c r="C933" s="6"/>
      <c r="D933" s="6"/>
      <c r="E933" s="6"/>
      <c r="F933" s="6"/>
      <c r="G933" s="6"/>
      <c r="H933" s="93"/>
      <c r="I933" s="93"/>
      <c r="J933" s="93"/>
      <c r="K933" s="93"/>
      <c r="L933" s="93"/>
      <c r="M933" s="6"/>
      <c r="N933" s="6"/>
      <c r="O933" s="6"/>
      <c r="P933" s="6"/>
      <c r="Q933" s="6"/>
      <c r="R933" s="6"/>
      <c r="S933" s="6"/>
      <c r="T933" s="6"/>
      <c r="U933" s="6"/>
      <c r="V933" s="6"/>
      <c r="W933" s="6"/>
      <c r="X933" s="6"/>
      <c r="Y933" s="6"/>
      <c r="Z933" s="6"/>
      <c r="AA933" s="6"/>
      <c r="AB933" s="6"/>
    </row>
    <row r="934" ht="16.5" customHeight="1">
      <c r="A934" s="6"/>
      <c r="B934" s="6"/>
      <c r="C934" s="6"/>
      <c r="D934" s="6"/>
      <c r="E934" s="6"/>
      <c r="F934" s="6"/>
      <c r="G934" s="6"/>
      <c r="H934" s="93"/>
      <c r="I934" s="93"/>
      <c r="J934" s="93"/>
      <c r="K934" s="93"/>
      <c r="L934" s="93"/>
      <c r="M934" s="6"/>
      <c r="N934" s="6"/>
      <c r="O934" s="6"/>
      <c r="P934" s="6"/>
      <c r="Q934" s="6"/>
      <c r="R934" s="6"/>
      <c r="S934" s="6"/>
      <c r="T934" s="6"/>
      <c r="U934" s="6"/>
      <c r="V934" s="6"/>
      <c r="W934" s="6"/>
      <c r="X934" s="6"/>
      <c r="Y934" s="6"/>
      <c r="Z934" s="6"/>
      <c r="AA934" s="6"/>
      <c r="AB934" s="6"/>
    </row>
    <row r="935" ht="16.5" customHeight="1">
      <c r="A935" s="6"/>
      <c r="B935" s="6"/>
      <c r="C935" s="6"/>
      <c r="D935" s="6"/>
      <c r="E935" s="6"/>
      <c r="F935" s="6"/>
      <c r="G935" s="6"/>
      <c r="H935" s="93"/>
      <c r="I935" s="93"/>
      <c r="J935" s="93"/>
      <c r="K935" s="93"/>
      <c r="L935" s="93"/>
      <c r="M935" s="6"/>
      <c r="N935" s="6"/>
      <c r="O935" s="6"/>
      <c r="P935" s="6"/>
      <c r="Q935" s="6"/>
      <c r="R935" s="6"/>
      <c r="S935" s="6"/>
      <c r="T935" s="6"/>
      <c r="U935" s="6"/>
      <c r="V935" s="6"/>
      <c r="W935" s="6"/>
      <c r="X935" s="6"/>
      <c r="Y935" s="6"/>
      <c r="Z935" s="6"/>
      <c r="AA935" s="6"/>
      <c r="AB935" s="6"/>
    </row>
    <row r="936" ht="16.5" customHeight="1">
      <c r="A936" s="6"/>
      <c r="B936" s="6"/>
      <c r="C936" s="6"/>
      <c r="D936" s="6"/>
      <c r="E936" s="6"/>
      <c r="F936" s="6"/>
      <c r="G936" s="6"/>
      <c r="H936" s="93"/>
      <c r="I936" s="93"/>
      <c r="J936" s="93"/>
      <c r="K936" s="93"/>
      <c r="L936" s="93"/>
      <c r="M936" s="6"/>
      <c r="N936" s="6"/>
      <c r="O936" s="6"/>
      <c r="P936" s="6"/>
      <c r="Q936" s="6"/>
      <c r="R936" s="6"/>
      <c r="S936" s="6"/>
      <c r="T936" s="6"/>
      <c r="U936" s="6"/>
      <c r="V936" s="6"/>
      <c r="W936" s="6"/>
      <c r="X936" s="6"/>
      <c r="Y936" s="6"/>
      <c r="Z936" s="6"/>
      <c r="AA936" s="6"/>
      <c r="AB936" s="6"/>
    </row>
    <row r="937" ht="16.5" customHeight="1">
      <c r="A937" s="6"/>
      <c r="B937" s="6"/>
      <c r="C937" s="6"/>
      <c r="D937" s="6"/>
      <c r="E937" s="6"/>
      <c r="F937" s="6"/>
      <c r="G937" s="6"/>
      <c r="H937" s="93"/>
      <c r="I937" s="93"/>
      <c r="J937" s="93"/>
      <c r="K937" s="93"/>
      <c r="L937" s="93"/>
      <c r="M937" s="6"/>
      <c r="N937" s="6"/>
      <c r="O937" s="6"/>
      <c r="P937" s="6"/>
      <c r="Q937" s="6"/>
      <c r="R937" s="6"/>
      <c r="S937" s="6"/>
      <c r="T937" s="6"/>
      <c r="U937" s="6"/>
      <c r="V937" s="6"/>
      <c r="W937" s="6"/>
      <c r="X937" s="6"/>
      <c r="Y937" s="6"/>
      <c r="Z937" s="6"/>
      <c r="AA937" s="6"/>
      <c r="AB937" s="6"/>
    </row>
    <row r="938" ht="16.5" customHeight="1">
      <c r="A938" s="6"/>
      <c r="B938" s="6"/>
      <c r="C938" s="6"/>
      <c r="D938" s="6"/>
      <c r="E938" s="6"/>
      <c r="F938" s="6"/>
      <c r="G938" s="6"/>
      <c r="H938" s="93"/>
      <c r="I938" s="93"/>
      <c r="J938" s="93"/>
      <c r="K938" s="93"/>
      <c r="L938" s="93"/>
      <c r="M938" s="6"/>
      <c r="N938" s="6"/>
      <c r="O938" s="6"/>
      <c r="P938" s="6"/>
      <c r="Q938" s="6"/>
      <c r="R938" s="6"/>
      <c r="S938" s="6"/>
      <c r="T938" s="6"/>
      <c r="U938" s="6"/>
      <c r="V938" s="6"/>
      <c r="W938" s="6"/>
      <c r="X938" s="6"/>
      <c r="Y938" s="6"/>
      <c r="Z938" s="6"/>
      <c r="AA938" s="6"/>
      <c r="AB938" s="6"/>
    </row>
    <row r="939" ht="16.5" customHeight="1">
      <c r="A939" s="6"/>
      <c r="B939" s="6"/>
      <c r="C939" s="6"/>
      <c r="D939" s="6"/>
      <c r="E939" s="6"/>
      <c r="F939" s="6"/>
      <c r="G939" s="6"/>
      <c r="H939" s="93"/>
      <c r="I939" s="93"/>
      <c r="J939" s="93"/>
      <c r="K939" s="93"/>
      <c r="L939" s="93"/>
      <c r="M939" s="6"/>
      <c r="N939" s="6"/>
      <c r="O939" s="6"/>
      <c r="P939" s="6"/>
      <c r="Q939" s="6"/>
      <c r="R939" s="6"/>
      <c r="S939" s="6"/>
      <c r="T939" s="6"/>
      <c r="U939" s="6"/>
      <c r="V939" s="6"/>
      <c r="W939" s="6"/>
      <c r="X939" s="6"/>
      <c r="Y939" s="6"/>
      <c r="Z939" s="6"/>
      <c r="AA939" s="6"/>
      <c r="AB939" s="6"/>
    </row>
    <row r="940" ht="16.5" customHeight="1">
      <c r="A940" s="6"/>
      <c r="B940" s="6"/>
      <c r="C940" s="6"/>
      <c r="D940" s="6"/>
      <c r="E940" s="6"/>
      <c r="F940" s="6"/>
      <c r="G940" s="6"/>
      <c r="H940" s="93"/>
      <c r="I940" s="93"/>
      <c r="J940" s="93"/>
      <c r="K940" s="93"/>
      <c r="L940" s="93"/>
      <c r="M940" s="6"/>
      <c r="N940" s="6"/>
      <c r="O940" s="6"/>
      <c r="P940" s="6"/>
      <c r="Q940" s="6"/>
      <c r="R940" s="6"/>
      <c r="S940" s="6"/>
      <c r="T940" s="6"/>
      <c r="U940" s="6"/>
      <c r="V940" s="6"/>
      <c r="W940" s="6"/>
      <c r="X940" s="6"/>
      <c r="Y940" s="6"/>
      <c r="Z940" s="6"/>
      <c r="AA940" s="6"/>
      <c r="AB940" s="6"/>
    </row>
    <row r="941" ht="16.5" customHeight="1">
      <c r="A941" s="6"/>
      <c r="B941" s="6"/>
      <c r="C941" s="6"/>
      <c r="D941" s="6"/>
      <c r="E941" s="6"/>
      <c r="F941" s="6"/>
      <c r="G941" s="6"/>
      <c r="H941" s="93"/>
      <c r="I941" s="93"/>
      <c r="J941" s="93"/>
      <c r="K941" s="93"/>
      <c r="L941" s="93"/>
      <c r="M941" s="6"/>
      <c r="N941" s="6"/>
      <c r="O941" s="6"/>
      <c r="P941" s="6"/>
      <c r="Q941" s="6"/>
      <c r="R941" s="6"/>
      <c r="S941" s="6"/>
      <c r="T941" s="6"/>
      <c r="U941" s="6"/>
      <c r="V941" s="6"/>
      <c r="W941" s="6"/>
      <c r="X941" s="6"/>
      <c r="Y941" s="6"/>
      <c r="Z941" s="6"/>
      <c r="AA941" s="6"/>
      <c r="AB941" s="6"/>
    </row>
    <row r="942" ht="16.5" customHeight="1">
      <c r="A942" s="6"/>
      <c r="B942" s="6"/>
      <c r="C942" s="6"/>
      <c r="D942" s="6"/>
      <c r="E942" s="6"/>
      <c r="F942" s="6"/>
      <c r="G942" s="6"/>
      <c r="H942" s="93"/>
      <c r="I942" s="93"/>
      <c r="J942" s="93"/>
      <c r="K942" s="93"/>
      <c r="L942" s="93"/>
      <c r="M942" s="6"/>
      <c r="N942" s="6"/>
      <c r="O942" s="6"/>
      <c r="P942" s="6"/>
      <c r="Q942" s="6"/>
      <c r="R942" s="6"/>
      <c r="S942" s="6"/>
      <c r="T942" s="6"/>
      <c r="U942" s="6"/>
      <c r="V942" s="6"/>
      <c r="W942" s="6"/>
      <c r="X942" s="6"/>
      <c r="Y942" s="6"/>
      <c r="Z942" s="6"/>
      <c r="AA942" s="6"/>
      <c r="AB942" s="6"/>
    </row>
    <row r="943" ht="16.5" customHeight="1">
      <c r="A943" s="6"/>
      <c r="B943" s="6"/>
      <c r="C943" s="6"/>
      <c r="D943" s="6"/>
      <c r="E943" s="6"/>
      <c r="F943" s="6"/>
      <c r="G943" s="6"/>
      <c r="H943" s="93"/>
      <c r="I943" s="93"/>
      <c r="J943" s="93"/>
      <c r="K943" s="93"/>
      <c r="L943" s="93"/>
      <c r="M943" s="6"/>
      <c r="N943" s="6"/>
      <c r="O943" s="6"/>
      <c r="P943" s="6"/>
      <c r="Q943" s="6"/>
      <c r="R943" s="6"/>
      <c r="S943" s="6"/>
      <c r="T943" s="6"/>
      <c r="U943" s="6"/>
      <c r="V943" s="6"/>
      <c r="W943" s="6"/>
      <c r="X943" s="6"/>
      <c r="Y943" s="6"/>
      <c r="Z943" s="6"/>
      <c r="AA943" s="6"/>
      <c r="AB943" s="6"/>
    </row>
    <row r="944" ht="16.5" customHeight="1">
      <c r="A944" s="6"/>
      <c r="B944" s="6"/>
      <c r="C944" s="6"/>
      <c r="D944" s="6"/>
      <c r="E944" s="6"/>
      <c r="F944" s="6"/>
      <c r="G944" s="6"/>
      <c r="H944" s="93"/>
      <c r="I944" s="93"/>
      <c r="J944" s="93"/>
      <c r="K944" s="93"/>
      <c r="L944" s="93"/>
      <c r="M944" s="6"/>
      <c r="N944" s="6"/>
      <c r="O944" s="6"/>
      <c r="P944" s="6"/>
      <c r="Q944" s="6"/>
      <c r="R944" s="6"/>
      <c r="S944" s="6"/>
      <c r="T944" s="6"/>
      <c r="U944" s="6"/>
      <c r="V944" s="6"/>
      <c r="W944" s="6"/>
      <c r="X944" s="6"/>
      <c r="Y944" s="6"/>
      <c r="Z944" s="6"/>
      <c r="AA944" s="6"/>
      <c r="AB944" s="6"/>
    </row>
    <row r="945" ht="16.5" customHeight="1">
      <c r="A945" s="6"/>
      <c r="B945" s="6"/>
      <c r="C945" s="6"/>
      <c r="D945" s="6"/>
      <c r="E945" s="6"/>
      <c r="F945" s="6"/>
      <c r="G945" s="6"/>
      <c r="H945" s="93"/>
      <c r="I945" s="93"/>
      <c r="J945" s="93"/>
      <c r="K945" s="93"/>
      <c r="L945" s="93"/>
      <c r="M945" s="6"/>
      <c r="N945" s="6"/>
      <c r="O945" s="6"/>
      <c r="P945" s="6"/>
      <c r="Q945" s="6"/>
      <c r="R945" s="6"/>
      <c r="S945" s="6"/>
      <c r="T945" s="6"/>
      <c r="U945" s="6"/>
      <c r="V945" s="6"/>
      <c r="W945" s="6"/>
      <c r="X945" s="6"/>
      <c r="Y945" s="6"/>
      <c r="Z945" s="6"/>
      <c r="AA945" s="6"/>
      <c r="AB945" s="6"/>
    </row>
    <row r="946" ht="16.5" customHeight="1">
      <c r="A946" s="6"/>
      <c r="B946" s="6"/>
      <c r="C946" s="6"/>
      <c r="D946" s="6"/>
      <c r="E946" s="6"/>
      <c r="F946" s="6"/>
      <c r="G946" s="6"/>
      <c r="H946" s="93"/>
      <c r="I946" s="93"/>
      <c r="J946" s="93"/>
      <c r="K946" s="93"/>
      <c r="L946" s="93"/>
      <c r="M946" s="6"/>
      <c r="N946" s="6"/>
      <c r="O946" s="6"/>
      <c r="P946" s="6"/>
      <c r="Q946" s="6"/>
      <c r="R946" s="6"/>
      <c r="S946" s="6"/>
      <c r="T946" s="6"/>
      <c r="U946" s="6"/>
      <c r="V946" s="6"/>
      <c r="W946" s="6"/>
      <c r="X946" s="6"/>
      <c r="Y946" s="6"/>
      <c r="Z946" s="6"/>
      <c r="AA946" s="6"/>
      <c r="AB946" s="6"/>
    </row>
    <row r="947" ht="16.5" customHeight="1">
      <c r="A947" s="6"/>
      <c r="B947" s="6"/>
      <c r="C947" s="6"/>
      <c r="D947" s="6"/>
      <c r="E947" s="6"/>
      <c r="F947" s="6"/>
      <c r="G947" s="6"/>
      <c r="H947" s="93"/>
      <c r="I947" s="93"/>
      <c r="J947" s="93"/>
      <c r="K947" s="93"/>
      <c r="L947" s="93"/>
      <c r="M947" s="6"/>
      <c r="N947" s="6"/>
      <c r="O947" s="6"/>
      <c r="P947" s="6"/>
      <c r="Q947" s="6"/>
      <c r="R947" s="6"/>
      <c r="S947" s="6"/>
      <c r="T947" s="6"/>
      <c r="U947" s="6"/>
      <c r="V947" s="6"/>
      <c r="W947" s="6"/>
      <c r="X947" s="6"/>
      <c r="Y947" s="6"/>
      <c r="Z947" s="6"/>
      <c r="AA947" s="6"/>
      <c r="AB947" s="6"/>
    </row>
    <row r="948" ht="16.5" customHeight="1">
      <c r="A948" s="6"/>
      <c r="B948" s="6"/>
      <c r="C948" s="6"/>
      <c r="D948" s="6"/>
      <c r="E948" s="6"/>
      <c r="F948" s="6"/>
      <c r="G948" s="6"/>
      <c r="H948" s="93"/>
      <c r="I948" s="93"/>
      <c r="J948" s="93"/>
      <c r="K948" s="93"/>
      <c r="L948" s="93"/>
      <c r="M948" s="6"/>
      <c r="N948" s="6"/>
      <c r="O948" s="6"/>
      <c r="P948" s="6"/>
      <c r="Q948" s="6"/>
      <c r="R948" s="6"/>
      <c r="S948" s="6"/>
      <c r="T948" s="6"/>
      <c r="U948" s="6"/>
      <c r="V948" s="6"/>
      <c r="W948" s="6"/>
      <c r="X948" s="6"/>
      <c r="Y948" s="6"/>
      <c r="Z948" s="6"/>
      <c r="AA948" s="6"/>
      <c r="AB948" s="6"/>
    </row>
    <row r="949" ht="16.5" customHeight="1">
      <c r="A949" s="6"/>
      <c r="B949" s="6"/>
      <c r="C949" s="6"/>
      <c r="D949" s="6"/>
      <c r="E949" s="6"/>
      <c r="F949" s="6"/>
      <c r="G949" s="6"/>
      <c r="H949" s="93"/>
      <c r="I949" s="93"/>
      <c r="J949" s="93"/>
      <c r="K949" s="93"/>
      <c r="L949" s="93"/>
      <c r="M949" s="6"/>
      <c r="N949" s="6"/>
      <c r="O949" s="6"/>
      <c r="P949" s="6"/>
      <c r="Q949" s="6"/>
      <c r="R949" s="6"/>
      <c r="S949" s="6"/>
      <c r="T949" s="6"/>
      <c r="U949" s="6"/>
      <c r="V949" s="6"/>
      <c r="W949" s="6"/>
      <c r="X949" s="6"/>
      <c r="Y949" s="6"/>
      <c r="Z949" s="6"/>
      <c r="AA949" s="6"/>
      <c r="AB949" s="6"/>
    </row>
    <row r="950" ht="16.5" customHeight="1">
      <c r="A950" s="6"/>
      <c r="B950" s="6"/>
      <c r="C950" s="6"/>
      <c r="D950" s="6"/>
      <c r="E950" s="6"/>
      <c r="F950" s="6"/>
      <c r="G950" s="6"/>
      <c r="H950" s="93"/>
      <c r="I950" s="93"/>
      <c r="J950" s="93"/>
      <c r="K950" s="93"/>
      <c r="L950" s="93"/>
      <c r="M950" s="6"/>
      <c r="N950" s="6"/>
      <c r="O950" s="6"/>
      <c r="P950" s="6"/>
      <c r="Q950" s="6"/>
      <c r="R950" s="6"/>
      <c r="S950" s="6"/>
      <c r="T950" s="6"/>
      <c r="U950" s="6"/>
      <c r="V950" s="6"/>
      <c r="W950" s="6"/>
      <c r="X950" s="6"/>
      <c r="Y950" s="6"/>
      <c r="Z950" s="6"/>
      <c r="AA950" s="6"/>
      <c r="AB950" s="6"/>
    </row>
    <row r="951" ht="16.5" customHeight="1">
      <c r="A951" s="6"/>
      <c r="B951" s="6"/>
      <c r="C951" s="6"/>
      <c r="D951" s="6"/>
      <c r="E951" s="6"/>
      <c r="F951" s="6"/>
      <c r="G951" s="6"/>
      <c r="H951" s="93"/>
      <c r="I951" s="93"/>
      <c r="J951" s="93"/>
      <c r="K951" s="93"/>
      <c r="L951" s="93"/>
      <c r="M951" s="6"/>
      <c r="N951" s="6"/>
      <c r="O951" s="6"/>
      <c r="P951" s="6"/>
      <c r="Q951" s="6"/>
      <c r="R951" s="6"/>
      <c r="S951" s="6"/>
      <c r="T951" s="6"/>
      <c r="U951" s="6"/>
      <c r="V951" s="6"/>
      <c r="W951" s="6"/>
      <c r="X951" s="6"/>
      <c r="Y951" s="6"/>
      <c r="Z951" s="6"/>
      <c r="AA951" s="6"/>
      <c r="AB951" s="6"/>
    </row>
    <row r="952" ht="16.5" customHeight="1">
      <c r="A952" s="6"/>
      <c r="B952" s="6"/>
      <c r="C952" s="6"/>
      <c r="D952" s="6"/>
      <c r="E952" s="6"/>
      <c r="F952" s="6"/>
      <c r="G952" s="6"/>
      <c r="H952" s="93"/>
      <c r="I952" s="93"/>
      <c r="J952" s="93"/>
      <c r="K952" s="93"/>
      <c r="L952" s="93"/>
      <c r="M952" s="6"/>
      <c r="N952" s="6"/>
      <c r="O952" s="6"/>
      <c r="P952" s="6"/>
      <c r="Q952" s="6"/>
      <c r="R952" s="6"/>
      <c r="S952" s="6"/>
      <c r="T952" s="6"/>
      <c r="U952" s="6"/>
      <c r="V952" s="6"/>
      <c r="W952" s="6"/>
      <c r="X952" s="6"/>
      <c r="Y952" s="6"/>
      <c r="Z952" s="6"/>
      <c r="AA952" s="6"/>
      <c r="AB952" s="6"/>
    </row>
    <row r="953" ht="16.5" customHeight="1">
      <c r="A953" s="6"/>
      <c r="B953" s="6"/>
      <c r="C953" s="6"/>
      <c r="D953" s="6"/>
      <c r="E953" s="6"/>
      <c r="F953" s="6"/>
      <c r="G953" s="6"/>
      <c r="H953" s="93"/>
      <c r="I953" s="93"/>
      <c r="J953" s="93"/>
      <c r="K953" s="93"/>
      <c r="L953" s="93"/>
      <c r="M953" s="6"/>
      <c r="N953" s="6"/>
      <c r="O953" s="6"/>
      <c r="P953" s="6"/>
      <c r="Q953" s="6"/>
      <c r="R953" s="6"/>
      <c r="S953" s="6"/>
      <c r="T953" s="6"/>
      <c r="U953" s="6"/>
      <c r="V953" s="6"/>
      <c r="W953" s="6"/>
      <c r="X953" s="6"/>
      <c r="Y953" s="6"/>
      <c r="Z953" s="6"/>
      <c r="AA953" s="6"/>
      <c r="AB953" s="6"/>
    </row>
    <row r="954" ht="16.5" customHeight="1">
      <c r="A954" s="6"/>
      <c r="B954" s="6"/>
      <c r="C954" s="6"/>
      <c r="D954" s="6"/>
      <c r="E954" s="6"/>
      <c r="F954" s="6"/>
      <c r="G954" s="6"/>
      <c r="H954" s="93"/>
      <c r="I954" s="93"/>
      <c r="J954" s="93"/>
      <c r="K954" s="93"/>
      <c r="L954" s="93"/>
      <c r="M954" s="6"/>
      <c r="N954" s="6"/>
      <c r="O954" s="6"/>
      <c r="P954" s="6"/>
      <c r="Q954" s="6"/>
      <c r="R954" s="6"/>
      <c r="S954" s="6"/>
      <c r="T954" s="6"/>
      <c r="U954" s="6"/>
      <c r="V954" s="6"/>
      <c r="W954" s="6"/>
      <c r="X954" s="6"/>
      <c r="Y954" s="6"/>
      <c r="Z954" s="6"/>
      <c r="AA954" s="6"/>
      <c r="AB954" s="6"/>
    </row>
    <row r="955" ht="16.5" customHeight="1">
      <c r="A955" s="6"/>
      <c r="B955" s="6"/>
      <c r="C955" s="6"/>
      <c r="D955" s="6"/>
      <c r="E955" s="6"/>
      <c r="F955" s="6"/>
      <c r="G955" s="6"/>
      <c r="H955" s="93"/>
      <c r="I955" s="93"/>
      <c r="J955" s="93"/>
      <c r="K955" s="93"/>
      <c r="L955" s="93"/>
      <c r="M955" s="6"/>
      <c r="N955" s="6"/>
      <c r="O955" s="6"/>
      <c r="P955" s="6"/>
      <c r="Q955" s="6"/>
      <c r="R955" s="6"/>
      <c r="S955" s="6"/>
      <c r="T955" s="6"/>
      <c r="U955" s="6"/>
      <c r="V955" s="6"/>
      <c r="W955" s="6"/>
      <c r="X955" s="6"/>
      <c r="Y955" s="6"/>
      <c r="Z955" s="6"/>
      <c r="AA955" s="6"/>
      <c r="AB955" s="6"/>
    </row>
    <row r="956" ht="16.5" customHeight="1">
      <c r="A956" s="6"/>
      <c r="B956" s="6"/>
      <c r="C956" s="6"/>
      <c r="D956" s="6"/>
      <c r="E956" s="6"/>
      <c r="F956" s="6"/>
      <c r="G956" s="6"/>
      <c r="H956" s="93"/>
      <c r="I956" s="93"/>
      <c r="J956" s="93"/>
      <c r="K956" s="93"/>
      <c r="L956" s="93"/>
      <c r="M956" s="6"/>
      <c r="N956" s="6"/>
      <c r="O956" s="6"/>
      <c r="P956" s="6"/>
      <c r="Q956" s="6"/>
      <c r="R956" s="6"/>
      <c r="S956" s="6"/>
      <c r="T956" s="6"/>
      <c r="U956" s="6"/>
      <c r="V956" s="6"/>
      <c r="W956" s="6"/>
      <c r="X956" s="6"/>
      <c r="Y956" s="6"/>
      <c r="Z956" s="6"/>
      <c r="AA956" s="6"/>
      <c r="AB956" s="6"/>
    </row>
    <row r="957" ht="16.5" customHeight="1">
      <c r="A957" s="6"/>
      <c r="B957" s="6"/>
      <c r="C957" s="6"/>
      <c r="D957" s="6"/>
      <c r="E957" s="6"/>
      <c r="F957" s="6"/>
      <c r="G957" s="6"/>
      <c r="H957" s="93"/>
      <c r="I957" s="93"/>
      <c r="J957" s="93"/>
      <c r="K957" s="93"/>
      <c r="L957" s="93"/>
      <c r="M957" s="6"/>
      <c r="N957" s="6"/>
      <c r="O957" s="6"/>
      <c r="P957" s="6"/>
      <c r="Q957" s="6"/>
      <c r="R957" s="6"/>
      <c r="S957" s="6"/>
      <c r="T957" s="6"/>
      <c r="U957" s="6"/>
      <c r="V957" s="6"/>
      <c r="W957" s="6"/>
      <c r="X957" s="6"/>
      <c r="Y957" s="6"/>
      <c r="Z957" s="6"/>
      <c r="AA957" s="6"/>
      <c r="AB957" s="6"/>
    </row>
    <row r="958" ht="16.5" customHeight="1">
      <c r="A958" s="6"/>
      <c r="B958" s="6"/>
      <c r="C958" s="6"/>
      <c r="D958" s="6"/>
      <c r="E958" s="6"/>
      <c r="F958" s="6"/>
      <c r="G958" s="6"/>
      <c r="H958" s="93"/>
      <c r="I958" s="93"/>
      <c r="J958" s="93"/>
      <c r="K958" s="93"/>
      <c r="L958" s="93"/>
      <c r="M958" s="6"/>
      <c r="N958" s="6"/>
      <c r="O958" s="6"/>
      <c r="P958" s="6"/>
      <c r="Q958" s="6"/>
      <c r="R958" s="6"/>
      <c r="S958" s="6"/>
      <c r="T958" s="6"/>
      <c r="U958" s="6"/>
      <c r="V958" s="6"/>
      <c r="W958" s="6"/>
      <c r="X958" s="6"/>
      <c r="Y958" s="6"/>
      <c r="Z958" s="6"/>
      <c r="AA958" s="6"/>
      <c r="AB958" s="6"/>
    </row>
    <row r="959" ht="16.5" customHeight="1">
      <c r="A959" s="6"/>
      <c r="B959" s="6"/>
      <c r="C959" s="6"/>
      <c r="D959" s="6"/>
      <c r="E959" s="6"/>
      <c r="F959" s="6"/>
      <c r="G959" s="6"/>
      <c r="H959" s="93"/>
      <c r="I959" s="93"/>
      <c r="J959" s="93"/>
      <c r="K959" s="93"/>
      <c r="L959" s="93"/>
      <c r="M959" s="6"/>
      <c r="N959" s="6"/>
      <c r="O959" s="6"/>
      <c r="P959" s="6"/>
      <c r="Q959" s="6"/>
      <c r="R959" s="6"/>
      <c r="S959" s="6"/>
      <c r="T959" s="6"/>
      <c r="U959" s="6"/>
      <c r="V959" s="6"/>
      <c r="W959" s="6"/>
      <c r="X959" s="6"/>
      <c r="Y959" s="6"/>
      <c r="Z959" s="6"/>
      <c r="AA959" s="6"/>
      <c r="AB959" s="6"/>
    </row>
    <row r="960" ht="16.5" customHeight="1">
      <c r="A960" s="6"/>
      <c r="B960" s="6"/>
      <c r="C960" s="6"/>
      <c r="D960" s="6"/>
      <c r="E960" s="6"/>
      <c r="F960" s="6"/>
      <c r="G960" s="6"/>
      <c r="H960" s="93"/>
      <c r="I960" s="93"/>
      <c r="J960" s="93"/>
      <c r="K960" s="93"/>
      <c r="L960" s="93"/>
      <c r="M960" s="6"/>
      <c r="N960" s="6"/>
      <c r="O960" s="6"/>
      <c r="P960" s="6"/>
      <c r="Q960" s="6"/>
      <c r="R960" s="6"/>
      <c r="S960" s="6"/>
      <c r="T960" s="6"/>
      <c r="U960" s="6"/>
      <c r="V960" s="6"/>
      <c r="W960" s="6"/>
      <c r="X960" s="6"/>
      <c r="Y960" s="6"/>
      <c r="Z960" s="6"/>
      <c r="AA960" s="6"/>
      <c r="AB960" s="6"/>
    </row>
    <row r="961" ht="16.5" customHeight="1">
      <c r="A961" s="6"/>
      <c r="B961" s="6"/>
      <c r="C961" s="6"/>
      <c r="D961" s="6"/>
      <c r="E961" s="6"/>
      <c r="F961" s="6"/>
      <c r="G961" s="6"/>
      <c r="H961" s="93"/>
      <c r="I961" s="93"/>
      <c r="J961" s="93"/>
      <c r="K961" s="93"/>
      <c r="L961" s="93"/>
      <c r="M961" s="6"/>
      <c r="N961" s="6"/>
      <c r="O961" s="6"/>
      <c r="P961" s="6"/>
      <c r="Q961" s="6"/>
      <c r="R961" s="6"/>
      <c r="S961" s="6"/>
      <c r="T961" s="6"/>
      <c r="U961" s="6"/>
      <c r="V961" s="6"/>
      <c r="W961" s="6"/>
      <c r="X961" s="6"/>
      <c r="Y961" s="6"/>
      <c r="Z961" s="6"/>
      <c r="AA961" s="6"/>
      <c r="AB961" s="6"/>
    </row>
    <row r="962" ht="16.5" customHeight="1">
      <c r="A962" s="6"/>
      <c r="B962" s="6"/>
      <c r="C962" s="6"/>
      <c r="D962" s="6"/>
      <c r="E962" s="6"/>
      <c r="F962" s="6"/>
      <c r="G962" s="6"/>
      <c r="H962" s="93"/>
      <c r="I962" s="93"/>
      <c r="J962" s="93"/>
      <c r="K962" s="93"/>
      <c r="L962" s="93"/>
      <c r="M962" s="6"/>
      <c r="N962" s="6"/>
      <c r="O962" s="6"/>
      <c r="P962" s="6"/>
      <c r="Q962" s="6"/>
      <c r="R962" s="6"/>
      <c r="S962" s="6"/>
      <c r="T962" s="6"/>
      <c r="U962" s="6"/>
      <c r="V962" s="6"/>
      <c r="W962" s="6"/>
      <c r="X962" s="6"/>
      <c r="Y962" s="6"/>
      <c r="Z962" s="6"/>
      <c r="AA962" s="6"/>
      <c r="AB962" s="6"/>
    </row>
    <row r="963" ht="16.5" customHeight="1">
      <c r="A963" s="6"/>
      <c r="B963" s="6"/>
      <c r="C963" s="6"/>
      <c r="D963" s="6"/>
      <c r="E963" s="6"/>
      <c r="F963" s="6"/>
      <c r="G963" s="6"/>
      <c r="H963" s="93"/>
      <c r="I963" s="93"/>
      <c r="J963" s="93"/>
      <c r="K963" s="93"/>
      <c r="L963" s="93"/>
      <c r="M963" s="6"/>
      <c r="N963" s="6"/>
      <c r="O963" s="6"/>
      <c r="P963" s="6"/>
      <c r="Q963" s="6"/>
      <c r="R963" s="6"/>
      <c r="S963" s="6"/>
      <c r="T963" s="6"/>
      <c r="U963" s="6"/>
      <c r="V963" s="6"/>
      <c r="W963" s="6"/>
      <c r="X963" s="6"/>
      <c r="Y963" s="6"/>
      <c r="Z963" s="6"/>
      <c r="AA963" s="6"/>
      <c r="AB963" s="6"/>
    </row>
    <row r="964" ht="16.5" customHeight="1">
      <c r="A964" s="6"/>
      <c r="B964" s="6"/>
      <c r="C964" s="6"/>
      <c r="D964" s="6"/>
      <c r="E964" s="6"/>
      <c r="F964" s="6"/>
      <c r="G964" s="6"/>
      <c r="H964" s="93"/>
      <c r="I964" s="93"/>
      <c r="J964" s="93"/>
      <c r="K964" s="93"/>
      <c r="L964" s="93"/>
      <c r="M964" s="6"/>
      <c r="N964" s="6"/>
      <c r="O964" s="6"/>
      <c r="P964" s="6"/>
      <c r="Q964" s="6"/>
      <c r="R964" s="6"/>
      <c r="S964" s="6"/>
      <c r="T964" s="6"/>
      <c r="U964" s="6"/>
      <c r="V964" s="6"/>
      <c r="W964" s="6"/>
      <c r="X964" s="6"/>
      <c r="Y964" s="6"/>
      <c r="Z964" s="6"/>
      <c r="AA964" s="6"/>
      <c r="AB964" s="6"/>
    </row>
    <row r="965" ht="16.5" customHeight="1">
      <c r="A965" s="6"/>
      <c r="B965" s="6"/>
      <c r="C965" s="6"/>
      <c r="D965" s="6"/>
      <c r="E965" s="6"/>
      <c r="F965" s="6"/>
      <c r="G965" s="6"/>
      <c r="H965" s="93"/>
      <c r="I965" s="93"/>
      <c r="J965" s="93"/>
      <c r="K965" s="93"/>
      <c r="L965" s="93"/>
      <c r="M965" s="6"/>
      <c r="N965" s="6"/>
      <c r="O965" s="6"/>
      <c r="P965" s="6"/>
      <c r="Q965" s="6"/>
      <c r="R965" s="6"/>
      <c r="S965" s="6"/>
      <c r="T965" s="6"/>
      <c r="U965" s="6"/>
      <c r="V965" s="6"/>
      <c r="W965" s="6"/>
      <c r="X965" s="6"/>
      <c r="Y965" s="6"/>
      <c r="Z965" s="6"/>
      <c r="AA965" s="6"/>
      <c r="AB965" s="6"/>
    </row>
    <row r="966" ht="16.5" customHeight="1">
      <c r="A966" s="6"/>
      <c r="B966" s="6"/>
      <c r="C966" s="6"/>
      <c r="D966" s="6"/>
      <c r="E966" s="6"/>
      <c r="F966" s="6"/>
      <c r="G966" s="6"/>
      <c r="H966" s="93"/>
      <c r="I966" s="93"/>
      <c r="J966" s="93"/>
      <c r="K966" s="93"/>
      <c r="L966" s="93"/>
      <c r="M966" s="6"/>
      <c r="N966" s="6"/>
      <c r="O966" s="6"/>
      <c r="P966" s="6"/>
      <c r="Q966" s="6"/>
      <c r="R966" s="6"/>
      <c r="S966" s="6"/>
      <c r="T966" s="6"/>
      <c r="U966" s="6"/>
      <c r="V966" s="6"/>
      <c r="W966" s="6"/>
      <c r="X966" s="6"/>
      <c r="Y966" s="6"/>
      <c r="Z966" s="6"/>
      <c r="AA966" s="6"/>
      <c r="AB966" s="6"/>
    </row>
    <row r="967" ht="16.5" customHeight="1">
      <c r="A967" s="6"/>
      <c r="B967" s="6"/>
      <c r="C967" s="6"/>
      <c r="D967" s="6"/>
      <c r="E967" s="6"/>
      <c r="F967" s="6"/>
      <c r="G967" s="6"/>
      <c r="H967" s="93"/>
      <c r="I967" s="93"/>
      <c r="J967" s="93"/>
      <c r="K967" s="93"/>
      <c r="L967" s="93"/>
      <c r="M967" s="6"/>
      <c r="N967" s="6"/>
      <c r="O967" s="6"/>
      <c r="P967" s="6"/>
      <c r="Q967" s="6"/>
      <c r="R967" s="6"/>
      <c r="S967" s="6"/>
      <c r="T967" s="6"/>
      <c r="U967" s="6"/>
      <c r="V967" s="6"/>
      <c r="W967" s="6"/>
      <c r="X967" s="6"/>
      <c r="Y967" s="6"/>
      <c r="Z967" s="6"/>
      <c r="AA967" s="6"/>
      <c r="AB967" s="6"/>
    </row>
    <row r="968" ht="16.5" customHeight="1">
      <c r="A968" s="6"/>
      <c r="B968" s="6"/>
      <c r="C968" s="6"/>
      <c r="D968" s="6"/>
      <c r="E968" s="6"/>
      <c r="F968" s="6"/>
      <c r="G968" s="6"/>
      <c r="H968" s="93"/>
      <c r="I968" s="93"/>
      <c r="J968" s="93"/>
      <c r="K968" s="93"/>
      <c r="L968" s="93"/>
      <c r="M968" s="6"/>
      <c r="N968" s="6"/>
      <c r="O968" s="6"/>
      <c r="P968" s="6"/>
      <c r="Q968" s="6"/>
      <c r="R968" s="6"/>
      <c r="S968" s="6"/>
      <c r="T968" s="6"/>
      <c r="U968" s="6"/>
      <c r="V968" s="6"/>
      <c r="W968" s="6"/>
      <c r="X968" s="6"/>
      <c r="Y968" s="6"/>
      <c r="Z968" s="6"/>
      <c r="AA968" s="6"/>
      <c r="AB968" s="6"/>
    </row>
    <row r="969" ht="16.5" customHeight="1">
      <c r="A969" s="6"/>
      <c r="B969" s="6"/>
      <c r="C969" s="6"/>
      <c r="D969" s="6"/>
      <c r="E969" s="6"/>
      <c r="F969" s="6"/>
      <c r="G969" s="6"/>
      <c r="H969" s="93"/>
      <c r="I969" s="93"/>
      <c r="J969" s="93"/>
      <c r="K969" s="93"/>
      <c r="L969" s="93"/>
      <c r="M969" s="6"/>
      <c r="N969" s="6"/>
      <c r="O969" s="6"/>
      <c r="P969" s="6"/>
      <c r="Q969" s="6"/>
      <c r="R969" s="6"/>
      <c r="S969" s="6"/>
      <c r="T969" s="6"/>
      <c r="U969" s="6"/>
      <c r="V969" s="6"/>
      <c r="W969" s="6"/>
      <c r="X969" s="6"/>
      <c r="Y969" s="6"/>
      <c r="Z969" s="6"/>
      <c r="AA969" s="6"/>
      <c r="AB969" s="6"/>
    </row>
    <row r="970" ht="16.5" customHeight="1">
      <c r="A970" s="6"/>
      <c r="B970" s="6"/>
      <c r="C970" s="6"/>
      <c r="D970" s="6"/>
      <c r="E970" s="6"/>
      <c r="F970" s="6"/>
      <c r="G970" s="6"/>
      <c r="H970" s="93"/>
      <c r="I970" s="93"/>
      <c r="J970" s="93"/>
      <c r="K970" s="93"/>
      <c r="L970" s="93"/>
      <c r="M970" s="6"/>
      <c r="N970" s="6"/>
      <c r="O970" s="6"/>
      <c r="P970" s="6"/>
      <c r="Q970" s="6"/>
      <c r="R970" s="6"/>
      <c r="S970" s="6"/>
      <c r="T970" s="6"/>
      <c r="U970" s="6"/>
      <c r="V970" s="6"/>
      <c r="W970" s="6"/>
      <c r="X970" s="6"/>
      <c r="Y970" s="6"/>
      <c r="Z970" s="6"/>
      <c r="AA970" s="6"/>
      <c r="AB970" s="6"/>
    </row>
    <row r="971" ht="16.5" customHeight="1">
      <c r="A971" s="6"/>
      <c r="B971" s="6"/>
      <c r="C971" s="6"/>
      <c r="D971" s="6"/>
      <c r="E971" s="6"/>
      <c r="F971" s="6"/>
      <c r="G971" s="6"/>
      <c r="H971" s="93"/>
      <c r="I971" s="93"/>
      <c r="J971" s="93"/>
      <c r="K971" s="93"/>
      <c r="L971" s="93"/>
      <c r="M971" s="6"/>
      <c r="N971" s="6"/>
      <c r="O971" s="6"/>
      <c r="P971" s="6"/>
      <c r="Q971" s="6"/>
      <c r="R971" s="6"/>
      <c r="S971" s="6"/>
      <c r="T971" s="6"/>
      <c r="U971" s="6"/>
      <c r="V971" s="6"/>
      <c r="W971" s="6"/>
      <c r="X971" s="6"/>
      <c r="Y971" s="6"/>
      <c r="Z971" s="6"/>
      <c r="AA971" s="6"/>
      <c r="AB971" s="6"/>
    </row>
    <row r="972" ht="16.5" customHeight="1">
      <c r="A972" s="6"/>
      <c r="B972" s="6"/>
      <c r="C972" s="6"/>
      <c r="D972" s="6"/>
      <c r="E972" s="6"/>
      <c r="F972" s="6"/>
      <c r="G972" s="6"/>
      <c r="H972" s="93"/>
      <c r="I972" s="93"/>
      <c r="J972" s="93"/>
      <c r="K972" s="93"/>
      <c r="L972" s="93"/>
      <c r="M972" s="6"/>
      <c r="N972" s="6"/>
      <c r="O972" s="6"/>
      <c r="P972" s="6"/>
      <c r="Q972" s="6"/>
      <c r="R972" s="6"/>
      <c r="S972" s="6"/>
      <c r="T972" s="6"/>
      <c r="U972" s="6"/>
      <c r="V972" s="6"/>
      <c r="W972" s="6"/>
      <c r="X972" s="6"/>
      <c r="Y972" s="6"/>
      <c r="Z972" s="6"/>
      <c r="AA972" s="6"/>
      <c r="AB972" s="6"/>
    </row>
    <row r="973" ht="16.5" customHeight="1">
      <c r="A973" s="6"/>
      <c r="B973" s="6"/>
      <c r="C973" s="6"/>
      <c r="D973" s="6"/>
      <c r="E973" s="6"/>
      <c r="F973" s="6"/>
      <c r="G973" s="6"/>
      <c r="H973" s="93"/>
      <c r="I973" s="93"/>
      <c r="J973" s="93"/>
      <c r="K973" s="93"/>
      <c r="L973" s="93"/>
      <c r="M973" s="6"/>
      <c r="N973" s="6"/>
      <c r="O973" s="6"/>
      <c r="P973" s="6"/>
      <c r="Q973" s="6"/>
      <c r="R973" s="6"/>
      <c r="S973" s="6"/>
      <c r="T973" s="6"/>
      <c r="U973" s="6"/>
      <c r="V973" s="6"/>
      <c r="W973" s="6"/>
      <c r="X973" s="6"/>
      <c r="Y973" s="6"/>
      <c r="Z973" s="6"/>
      <c r="AA973" s="6"/>
      <c r="AB973" s="6"/>
    </row>
    <row r="974" ht="16.5" customHeight="1">
      <c r="A974" s="6"/>
      <c r="B974" s="6"/>
      <c r="C974" s="6"/>
      <c r="D974" s="6"/>
      <c r="E974" s="6"/>
      <c r="F974" s="6"/>
      <c r="G974" s="6"/>
      <c r="H974" s="93"/>
      <c r="I974" s="93"/>
      <c r="J974" s="93"/>
      <c r="K974" s="93"/>
      <c r="L974" s="93"/>
      <c r="M974" s="6"/>
      <c r="N974" s="6"/>
      <c r="O974" s="6"/>
      <c r="P974" s="6"/>
      <c r="Q974" s="6"/>
      <c r="R974" s="6"/>
      <c r="S974" s="6"/>
      <c r="T974" s="6"/>
      <c r="U974" s="6"/>
      <c r="V974" s="6"/>
      <c r="W974" s="6"/>
      <c r="X974" s="6"/>
      <c r="Y974" s="6"/>
      <c r="Z974" s="6"/>
      <c r="AA974" s="6"/>
      <c r="AB974" s="6"/>
    </row>
    <row r="975" ht="16.5" customHeight="1">
      <c r="A975" s="6"/>
      <c r="B975" s="6"/>
      <c r="C975" s="6"/>
      <c r="D975" s="6"/>
      <c r="E975" s="6"/>
      <c r="F975" s="6"/>
      <c r="G975" s="6"/>
      <c r="H975" s="93"/>
      <c r="I975" s="93"/>
      <c r="J975" s="93"/>
      <c r="K975" s="93"/>
      <c r="L975" s="93"/>
      <c r="M975" s="6"/>
      <c r="N975" s="6"/>
      <c r="O975" s="6"/>
      <c r="P975" s="6"/>
      <c r="Q975" s="6"/>
      <c r="R975" s="6"/>
      <c r="S975" s="6"/>
      <c r="T975" s="6"/>
      <c r="U975" s="6"/>
      <c r="V975" s="6"/>
      <c r="W975" s="6"/>
      <c r="X975" s="6"/>
      <c r="Y975" s="6"/>
      <c r="Z975" s="6"/>
      <c r="AA975" s="6"/>
      <c r="AB975" s="6"/>
    </row>
    <row r="976" ht="16.5" customHeight="1">
      <c r="A976" s="6"/>
      <c r="B976" s="6"/>
      <c r="C976" s="6"/>
      <c r="D976" s="6"/>
      <c r="E976" s="6"/>
      <c r="F976" s="6"/>
      <c r="G976" s="6"/>
      <c r="H976" s="93"/>
      <c r="I976" s="93"/>
      <c r="J976" s="93"/>
      <c r="K976" s="93"/>
      <c r="L976" s="93"/>
      <c r="M976" s="6"/>
      <c r="N976" s="6"/>
      <c r="O976" s="6"/>
      <c r="P976" s="6"/>
      <c r="Q976" s="6"/>
      <c r="R976" s="6"/>
      <c r="S976" s="6"/>
      <c r="T976" s="6"/>
      <c r="U976" s="6"/>
      <c r="V976" s="6"/>
      <c r="W976" s="6"/>
      <c r="X976" s="6"/>
      <c r="Y976" s="6"/>
      <c r="Z976" s="6"/>
      <c r="AA976" s="6"/>
      <c r="AB976" s="6"/>
    </row>
    <row r="977" ht="16.5" customHeight="1">
      <c r="A977" s="6"/>
      <c r="B977" s="6"/>
      <c r="C977" s="6"/>
      <c r="D977" s="6"/>
      <c r="E977" s="6"/>
      <c r="F977" s="6"/>
      <c r="G977" s="6"/>
      <c r="H977" s="93"/>
      <c r="I977" s="93"/>
      <c r="J977" s="93"/>
      <c r="K977" s="93"/>
      <c r="L977" s="93"/>
      <c r="M977" s="6"/>
      <c r="N977" s="6"/>
      <c r="O977" s="6"/>
      <c r="P977" s="6"/>
      <c r="Q977" s="6"/>
      <c r="R977" s="6"/>
      <c r="S977" s="6"/>
      <c r="T977" s="6"/>
      <c r="U977" s="6"/>
      <c r="V977" s="6"/>
      <c r="W977" s="6"/>
      <c r="X977" s="6"/>
      <c r="Y977" s="6"/>
      <c r="Z977" s="6"/>
      <c r="AA977" s="6"/>
      <c r="AB977" s="6"/>
    </row>
    <row r="978" ht="16.5" customHeight="1">
      <c r="A978" s="6"/>
      <c r="B978" s="6"/>
      <c r="C978" s="6"/>
      <c r="D978" s="6"/>
      <c r="E978" s="6"/>
      <c r="F978" s="6"/>
      <c r="G978" s="6"/>
      <c r="H978" s="93"/>
      <c r="I978" s="93"/>
      <c r="J978" s="93"/>
      <c r="K978" s="93"/>
      <c r="L978" s="93"/>
      <c r="M978" s="6"/>
      <c r="N978" s="6"/>
      <c r="O978" s="6"/>
      <c r="P978" s="6"/>
      <c r="Q978" s="6"/>
      <c r="R978" s="6"/>
      <c r="S978" s="6"/>
      <c r="T978" s="6"/>
      <c r="U978" s="6"/>
      <c r="V978" s="6"/>
      <c r="W978" s="6"/>
      <c r="X978" s="6"/>
      <c r="Y978" s="6"/>
      <c r="Z978" s="6"/>
      <c r="AA978" s="6"/>
      <c r="AB978" s="6"/>
    </row>
    <row r="979" ht="16.5" customHeight="1">
      <c r="A979" s="6"/>
      <c r="B979" s="6"/>
      <c r="C979" s="6"/>
      <c r="D979" s="6"/>
      <c r="E979" s="6"/>
      <c r="F979" s="6"/>
      <c r="G979" s="6"/>
      <c r="H979" s="93"/>
      <c r="I979" s="93"/>
      <c r="J979" s="93"/>
      <c r="K979" s="93"/>
      <c r="L979" s="93"/>
      <c r="M979" s="6"/>
      <c r="N979" s="6"/>
      <c r="O979" s="6"/>
      <c r="P979" s="6"/>
      <c r="Q979" s="6"/>
      <c r="R979" s="6"/>
      <c r="S979" s="6"/>
      <c r="T979" s="6"/>
      <c r="U979" s="6"/>
      <c r="V979" s="6"/>
      <c r="W979" s="6"/>
      <c r="X979" s="6"/>
      <c r="Y979" s="6"/>
      <c r="Z979" s="6"/>
      <c r="AA979" s="6"/>
      <c r="AB979" s="6"/>
    </row>
    <row r="980" ht="16.5" customHeight="1">
      <c r="A980" s="6"/>
      <c r="B980" s="6"/>
      <c r="C980" s="6"/>
      <c r="D980" s="6"/>
      <c r="E980" s="6"/>
      <c r="F980" s="6"/>
      <c r="G980" s="6"/>
      <c r="H980" s="93"/>
      <c r="I980" s="93"/>
      <c r="J980" s="93"/>
      <c r="K980" s="93"/>
      <c r="L980" s="93"/>
      <c r="M980" s="6"/>
      <c r="N980" s="6"/>
      <c r="O980" s="6"/>
      <c r="P980" s="6"/>
      <c r="Q980" s="6"/>
      <c r="R980" s="6"/>
      <c r="S980" s="6"/>
      <c r="T980" s="6"/>
      <c r="U980" s="6"/>
      <c r="V980" s="6"/>
      <c r="W980" s="6"/>
      <c r="X980" s="6"/>
      <c r="Y980" s="6"/>
      <c r="Z980" s="6"/>
      <c r="AA980" s="6"/>
      <c r="AB980" s="6"/>
    </row>
    <row r="981" ht="16.5" customHeight="1">
      <c r="A981" s="6"/>
      <c r="B981" s="6"/>
      <c r="C981" s="6"/>
      <c r="D981" s="6"/>
      <c r="E981" s="6"/>
      <c r="F981" s="6"/>
      <c r="G981" s="6"/>
      <c r="H981" s="93"/>
      <c r="I981" s="93"/>
      <c r="J981" s="93"/>
      <c r="K981" s="93"/>
      <c r="L981" s="93"/>
      <c r="M981" s="6"/>
      <c r="N981" s="6"/>
      <c r="O981" s="6"/>
      <c r="P981" s="6"/>
      <c r="Q981" s="6"/>
      <c r="R981" s="6"/>
      <c r="S981" s="6"/>
      <c r="T981" s="6"/>
      <c r="U981" s="6"/>
      <c r="V981" s="6"/>
      <c r="W981" s="6"/>
      <c r="X981" s="6"/>
      <c r="Y981" s="6"/>
      <c r="Z981" s="6"/>
      <c r="AA981" s="6"/>
      <c r="AB981" s="6"/>
    </row>
    <row r="982" ht="16.5" customHeight="1">
      <c r="A982" s="6"/>
      <c r="B982" s="6"/>
      <c r="C982" s="6"/>
      <c r="D982" s="6"/>
      <c r="E982" s="6"/>
      <c r="F982" s="6"/>
      <c r="G982" s="6"/>
      <c r="H982" s="93"/>
      <c r="I982" s="93"/>
      <c r="J982" s="93"/>
      <c r="K982" s="93"/>
      <c r="L982" s="93"/>
      <c r="M982" s="6"/>
      <c r="N982" s="6"/>
      <c r="O982" s="6"/>
      <c r="P982" s="6"/>
      <c r="Q982" s="6"/>
      <c r="R982" s="6"/>
      <c r="S982" s="6"/>
      <c r="T982" s="6"/>
      <c r="U982" s="6"/>
      <c r="V982" s="6"/>
      <c r="W982" s="6"/>
      <c r="X982" s="6"/>
      <c r="Y982" s="6"/>
      <c r="Z982" s="6"/>
      <c r="AA982" s="6"/>
      <c r="AB982" s="6"/>
    </row>
    <row r="983" ht="16.5" customHeight="1">
      <c r="A983" s="6"/>
      <c r="B983" s="6"/>
      <c r="C983" s="6"/>
      <c r="D983" s="6"/>
      <c r="E983" s="6"/>
      <c r="F983" s="6"/>
      <c r="G983" s="6"/>
      <c r="H983" s="93"/>
      <c r="I983" s="93"/>
      <c r="J983" s="93"/>
      <c r="K983" s="93"/>
      <c r="L983" s="93"/>
      <c r="M983" s="6"/>
      <c r="N983" s="6"/>
      <c r="O983" s="6"/>
      <c r="P983" s="6"/>
      <c r="Q983" s="6"/>
      <c r="R983" s="6"/>
      <c r="S983" s="6"/>
      <c r="T983" s="6"/>
      <c r="U983" s="6"/>
      <c r="V983" s="6"/>
      <c r="W983" s="6"/>
      <c r="X983" s="6"/>
      <c r="Y983" s="6"/>
      <c r="Z983" s="6"/>
      <c r="AA983" s="6"/>
      <c r="AB983" s="6"/>
    </row>
    <row r="984" ht="16.5" customHeight="1">
      <c r="A984" s="6"/>
      <c r="B984" s="6"/>
      <c r="C984" s="6"/>
      <c r="D984" s="6"/>
      <c r="E984" s="6"/>
      <c r="F984" s="6"/>
      <c r="G984" s="6"/>
      <c r="H984" s="93"/>
      <c r="I984" s="93"/>
      <c r="J984" s="93"/>
      <c r="K984" s="93"/>
      <c r="L984" s="93"/>
      <c r="M984" s="6"/>
      <c r="N984" s="6"/>
      <c r="O984" s="6"/>
      <c r="P984" s="6"/>
      <c r="Q984" s="6"/>
      <c r="R984" s="6"/>
      <c r="S984" s="6"/>
      <c r="T984" s="6"/>
      <c r="U984" s="6"/>
      <c r="V984" s="6"/>
      <c r="W984" s="6"/>
      <c r="X984" s="6"/>
      <c r="Y984" s="6"/>
      <c r="Z984" s="6"/>
      <c r="AA984" s="6"/>
      <c r="AB984" s="6"/>
    </row>
    <row r="985" ht="16.5" customHeight="1">
      <c r="A985" s="6"/>
      <c r="B985" s="6"/>
      <c r="C985" s="6"/>
      <c r="D985" s="6"/>
      <c r="E985" s="6"/>
      <c r="F985" s="6"/>
      <c r="G985" s="6"/>
      <c r="H985" s="93"/>
      <c r="I985" s="93"/>
      <c r="J985" s="93"/>
      <c r="K985" s="93"/>
      <c r="L985" s="93"/>
      <c r="M985" s="6"/>
      <c r="N985" s="6"/>
      <c r="O985" s="6"/>
      <c r="P985" s="6"/>
      <c r="Q985" s="6"/>
      <c r="R985" s="6"/>
      <c r="S985" s="6"/>
      <c r="T985" s="6"/>
      <c r="U985" s="6"/>
      <c r="V985" s="6"/>
      <c r="W985" s="6"/>
      <c r="X985" s="6"/>
      <c r="Y985" s="6"/>
      <c r="Z985" s="6"/>
      <c r="AA985" s="6"/>
      <c r="AB985" s="6"/>
    </row>
    <row r="986" ht="16.5" customHeight="1">
      <c r="A986" s="6"/>
      <c r="B986" s="6"/>
      <c r="C986" s="6"/>
      <c r="D986" s="6"/>
      <c r="E986" s="6"/>
      <c r="F986" s="6"/>
      <c r="G986" s="6"/>
      <c r="H986" s="93"/>
      <c r="I986" s="93"/>
      <c r="J986" s="93"/>
      <c r="K986" s="93"/>
      <c r="L986" s="93"/>
      <c r="M986" s="6"/>
      <c r="N986" s="6"/>
      <c r="O986" s="6"/>
      <c r="P986" s="6"/>
      <c r="Q986" s="6"/>
      <c r="R986" s="6"/>
      <c r="S986" s="6"/>
      <c r="T986" s="6"/>
      <c r="U986" s="6"/>
      <c r="V986" s="6"/>
      <c r="W986" s="6"/>
      <c r="X986" s="6"/>
      <c r="Y986" s="6"/>
      <c r="Z986" s="6"/>
      <c r="AA986" s="6"/>
      <c r="AB986" s="6"/>
    </row>
    <row r="987" ht="16.5" customHeight="1">
      <c r="A987" s="6"/>
      <c r="B987" s="6"/>
      <c r="C987" s="6"/>
      <c r="D987" s="6"/>
      <c r="E987" s="6"/>
      <c r="F987" s="6"/>
      <c r="G987" s="6"/>
      <c r="H987" s="93"/>
      <c r="I987" s="93"/>
      <c r="J987" s="93"/>
      <c r="K987" s="93"/>
      <c r="L987" s="93"/>
      <c r="M987" s="6"/>
      <c r="N987" s="6"/>
      <c r="O987" s="6"/>
      <c r="P987" s="6"/>
      <c r="Q987" s="6"/>
      <c r="R987" s="6"/>
      <c r="S987" s="6"/>
      <c r="T987" s="6"/>
      <c r="U987" s="6"/>
      <c r="V987" s="6"/>
      <c r="W987" s="6"/>
      <c r="X987" s="6"/>
      <c r="Y987" s="6"/>
      <c r="Z987" s="6"/>
      <c r="AA987" s="6"/>
      <c r="AB987" s="6"/>
    </row>
    <row r="988" ht="16.5" customHeight="1">
      <c r="A988" s="6"/>
      <c r="B988" s="6"/>
      <c r="C988" s="6"/>
      <c r="D988" s="6"/>
      <c r="E988" s="6"/>
      <c r="F988" s="6"/>
      <c r="G988" s="6"/>
      <c r="H988" s="93"/>
      <c r="I988" s="93"/>
      <c r="J988" s="93"/>
      <c r="K988" s="93"/>
      <c r="L988" s="93"/>
      <c r="M988" s="6"/>
      <c r="N988" s="6"/>
      <c r="O988" s="6"/>
      <c r="P988" s="6"/>
      <c r="Q988" s="6"/>
      <c r="R988" s="6"/>
      <c r="S988" s="6"/>
      <c r="T988" s="6"/>
      <c r="U988" s="6"/>
      <c r="V988" s="6"/>
      <c r="W988" s="6"/>
      <c r="X988" s="6"/>
      <c r="Y988" s="6"/>
      <c r="Z988" s="6"/>
      <c r="AA988" s="6"/>
      <c r="AB988" s="6"/>
    </row>
    <row r="989" ht="16.5" customHeight="1">
      <c r="A989" s="6"/>
      <c r="B989" s="6"/>
      <c r="C989" s="6"/>
      <c r="D989" s="6"/>
      <c r="E989" s="6"/>
      <c r="F989" s="6"/>
      <c r="G989" s="6"/>
      <c r="H989" s="93"/>
      <c r="I989" s="93"/>
      <c r="J989" s="93"/>
      <c r="K989" s="93"/>
      <c r="L989" s="93"/>
      <c r="M989" s="6"/>
      <c r="N989" s="6"/>
      <c r="O989" s="6"/>
      <c r="P989" s="6"/>
      <c r="Q989" s="6"/>
      <c r="R989" s="6"/>
      <c r="S989" s="6"/>
      <c r="T989" s="6"/>
      <c r="U989" s="6"/>
      <c r="V989" s="6"/>
      <c r="W989" s="6"/>
      <c r="X989" s="6"/>
      <c r="Y989" s="6"/>
      <c r="Z989" s="6"/>
      <c r="AA989" s="6"/>
      <c r="AB989" s="6"/>
    </row>
    <row r="990" ht="16.5" customHeight="1">
      <c r="A990" s="6"/>
      <c r="B990" s="6"/>
      <c r="C990" s="6"/>
      <c r="D990" s="6"/>
      <c r="E990" s="6"/>
      <c r="F990" s="6"/>
      <c r="G990" s="6"/>
      <c r="H990" s="93"/>
      <c r="I990" s="93"/>
      <c r="J990" s="93"/>
      <c r="K990" s="93"/>
      <c r="L990" s="93"/>
      <c r="M990" s="6"/>
      <c r="N990" s="6"/>
      <c r="O990" s="6"/>
      <c r="P990" s="6"/>
      <c r="Q990" s="6"/>
      <c r="R990" s="6"/>
      <c r="S990" s="6"/>
      <c r="T990" s="6"/>
      <c r="U990" s="6"/>
      <c r="V990" s="6"/>
      <c r="W990" s="6"/>
      <c r="X990" s="6"/>
      <c r="Y990" s="6"/>
      <c r="Z990" s="6"/>
      <c r="AA990" s="6"/>
      <c r="AB990" s="6"/>
    </row>
    <row r="991" ht="16.5" customHeight="1">
      <c r="A991" s="6"/>
      <c r="B991" s="6"/>
      <c r="C991" s="6"/>
      <c r="D991" s="6"/>
      <c r="E991" s="6"/>
      <c r="F991" s="6"/>
      <c r="G991" s="6"/>
      <c r="H991" s="93"/>
      <c r="I991" s="93"/>
      <c r="J991" s="93"/>
      <c r="K991" s="93"/>
      <c r="L991" s="93"/>
      <c r="M991" s="6"/>
      <c r="N991" s="6"/>
      <c r="O991" s="6"/>
      <c r="P991" s="6"/>
      <c r="Q991" s="6"/>
      <c r="R991" s="6"/>
      <c r="S991" s="6"/>
      <c r="T991" s="6"/>
      <c r="U991" s="6"/>
      <c r="V991" s="6"/>
      <c r="W991" s="6"/>
      <c r="X991" s="6"/>
      <c r="Y991" s="6"/>
      <c r="Z991" s="6"/>
      <c r="AA991" s="6"/>
      <c r="AB991" s="6"/>
    </row>
    <row r="992" ht="16.5" customHeight="1">
      <c r="A992" s="6"/>
      <c r="B992" s="6"/>
      <c r="C992" s="6"/>
      <c r="D992" s="6"/>
      <c r="E992" s="6"/>
      <c r="F992" s="6"/>
      <c r="G992" s="6"/>
      <c r="H992" s="93"/>
      <c r="I992" s="93"/>
      <c r="J992" s="93"/>
      <c r="K992" s="93"/>
      <c r="L992" s="93"/>
      <c r="M992" s="6"/>
      <c r="N992" s="6"/>
      <c r="O992" s="6"/>
      <c r="P992" s="6"/>
      <c r="Q992" s="6"/>
      <c r="R992" s="6"/>
      <c r="S992" s="6"/>
      <c r="T992" s="6"/>
      <c r="U992" s="6"/>
      <c r="V992" s="6"/>
      <c r="W992" s="6"/>
      <c r="X992" s="6"/>
      <c r="Y992" s="6"/>
      <c r="Z992" s="6"/>
      <c r="AA992" s="6"/>
      <c r="AB992" s="6"/>
    </row>
    <row r="993" ht="16.5" customHeight="1">
      <c r="A993" s="6"/>
      <c r="B993" s="6"/>
      <c r="C993" s="6"/>
      <c r="D993" s="6"/>
      <c r="E993" s="6"/>
      <c r="F993" s="6"/>
      <c r="G993" s="6"/>
      <c r="H993" s="93"/>
      <c r="I993" s="93"/>
      <c r="J993" s="93"/>
      <c r="K993" s="93"/>
      <c r="L993" s="93"/>
      <c r="M993" s="6"/>
      <c r="N993" s="6"/>
      <c r="O993" s="6"/>
      <c r="P993" s="6"/>
      <c r="Q993" s="6"/>
      <c r="R993" s="6"/>
      <c r="S993" s="6"/>
      <c r="T993" s="6"/>
      <c r="U993" s="6"/>
      <c r="V993" s="6"/>
      <c r="W993" s="6"/>
      <c r="X993" s="6"/>
      <c r="Y993" s="6"/>
      <c r="Z993" s="6"/>
      <c r="AA993" s="6"/>
      <c r="AB993" s="6"/>
    </row>
    <row r="994" ht="16.5" customHeight="1">
      <c r="A994" s="6"/>
      <c r="B994" s="6"/>
      <c r="C994" s="6"/>
      <c r="D994" s="6"/>
      <c r="E994" s="6"/>
      <c r="F994" s="6"/>
      <c r="G994" s="6"/>
      <c r="H994" s="93"/>
      <c r="I994" s="93"/>
      <c r="J994" s="93"/>
      <c r="K994" s="93"/>
      <c r="L994" s="93"/>
      <c r="M994" s="6"/>
      <c r="N994" s="6"/>
      <c r="O994" s="6"/>
      <c r="P994" s="6"/>
      <c r="Q994" s="6"/>
      <c r="R994" s="6"/>
      <c r="S994" s="6"/>
      <c r="T994" s="6"/>
      <c r="U994" s="6"/>
      <c r="V994" s="6"/>
      <c r="W994" s="6"/>
      <c r="X994" s="6"/>
      <c r="Y994" s="6"/>
      <c r="Z994" s="6"/>
      <c r="AA994" s="6"/>
      <c r="AB994" s="6"/>
    </row>
    <row r="995" ht="16.5" customHeight="1">
      <c r="A995" s="6"/>
      <c r="B995" s="6"/>
      <c r="C995" s="6"/>
      <c r="D995" s="6"/>
      <c r="E995" s="6"/>
      <c r="F995" s="6"/>
      <c r="G995" s="6"/>
      <c r="H995" s="93"/>
      <c r="I995" s="93"/>
      <c r="J995" s="93"/>
      <c r="K995" s="93"/>
      <c r="L995" s="93"/>
      <c r="M995" s="6"/>
      <c r="N995" s="6"/>
      <c r="O995" s="6"/>
      <c r="P995" s="6"/>
      <c r="Q995" s="6"/>
      <c r="R995" s="6"/>
      <c r="S995" s="6"/>
      <c r="T995" s="6"/>
      <c r="U995" s="6"/>
      <c r="V995" s="6"/>
      <c r="W995" s="6"/>
      <c r="X995" s="6"/>
      <c r="Y995" s="6"/>
      <c r="Z995" s="6"/>
      <c r="AA995" s="6"/>
      <c r="AB995" s="6"/>
    </row>
    <row r="996" ht="16.5" customHeight="1">
      <c r="A996" s="6"/>
      <c r="B996" s="6"/>
      <c r="C996" s="6"/>
      <c r="D996" s="6"/>
      <c r="E996" s="6"/>
      <c r="F996" s="6"/>
      <c r="G996" s="6"/>
      <c r="H996" s="93"/>
      <c r="I996" s="93"/>
      <c r="J996" s="93"/>
      <c r="K996" s="93"/>
      <c r="L996" s="93"/>
      <c r="M996" s="6"/>
      <c r="N996" s="6"/>
      <c r="O996" s="6"/>
      <c r="P996" s="6"/>
      <c r="Q996" s="6"/>
      <c r="R996" s="6"/>
      <c r="S996" s="6"/>
      <c r="T996" s="6"/>
      <c r="U996" s="6"/>
      <c r="V996" s="6"/>
      <c r="W996" s="6"/>
      <c r="X996" s="6"/>
      <c r="Y996" s="6"/>
      <c r="Z996" s="6"/>
      <c r="AA996" s="6"/>
      <c r="AB996" s="6"/>
    </row>
    <row r="997" ht="16.5" customHeight="1">
      <c r="A997" s="6"/>
      <c r="B997" s="6"/>
      <c r="C997" s="6"/>
      <c r="D997" s="6"/>
      <c r="E997" s="6"/>
      <c r="F997" s="6"/>
      <c r="G997" s="6"/>
      <c r="H997" s="93"/>
      <c r="I997" s="93"/>
      <c r="J997" s="93"/>
      <c r="K997" s="93"/>
      <c r="L997" s="93"/>
      <c r="M997" s="6"/>
      <c r="N997" s="6"/>
      <c r="O997" s="6"/>
      <c r="P997" s="6"/>
      <c r="Q997" s="6"/>
      <c r="R997" s="6"/>
      <c r="S997" s="6"/>
      <c r="T997" s="6"/>
      <c r="U997" s="6"/>
      <c r="V997" s="6"/>
      <c r="W997" s="6"/>
      <c r="X997" s="6"/>
      <c r="Y997" s="6"/>
      <c r="Z997" s="6"/>
      <c r="AA997" s="6"/>
      <c r="AB997" s="6"/>
    </row>
    <row r="998" ht="16.5" customHeight="1">
      <c r="A998" s="6"/>
      <c r="B998" s="6"/>
      <c r="C998" s="6"/>
      <c r="D998" s="6"/>
      <c r="E998" s="6"/>
      <c r="F998" s="6"/>
      <c r="G998" s="6"/>
      <c r="H998" s="93"/>
      <c r="I998" s="93"/>
      <c r="J998" s="93"/>
      <c r="K998" s="93"/>
      <c r="L998" s="93"/>
      <c r="M998" s="6"/>
      <c r="N998" s="6"/>
      <c r="O998" s="6"/>
      <c r="P998" s="6"/>
      <c r="Q998" s="6"/>
      <c r="R998" s="6"/>
      <c r="S998" s="6"/>
      <c r="T998" s="6"/>
      <c r="U998" s="6"/>
      <c r="V998" s="6"/>
      <c r="W998" s="6"/>
      <c r="X998" s="6"/>
      <c r="Y998" s="6"/>
      <c r="Z998" s="6"/>
      <c r="AA998" s="6"/>
      <c r="AB998" s="6"/>
    </row>
    <row r="999" ht="16.5" customHeight="1">
      <c r="A999" s="6"/>
      <c r="B999" s="6"/>
      <c r="C999" s="6"/>
      <c r="D999" s="6"/>
      <c r="E999" s="6"/>
      <c r="F999" s="6"/>
      <c r="G999" s="6"/>
      <c r="H999" s="93"/>
      <c r="I999" s="93"/>
      <c r="J999" s="93"/>
      <c r="K999" s="93"/>
      <c r="L999" s="93"/>
      <c r="M999" s="6"/>
      <c r="N999" s="6"/>
      <c r="O999" s="6"/>
      <c r="P999" s="6"/>
      <c r="Q999" s="6"/>
      <c r="R999" s="6"/>
      <c r="S999" s="6"/>
      <c r="T999" s="6"/>
      <c r="U999" s="6"/>
      <c r="V999" s="6"/>
      <c r="W999" s="6"/>
      <c r="X999" s="6"/>
      <c r="Y999" s="6"/>
      <c r="Z999" s="6"/>
      <c r="AA999" s="6"/>
      <c r="AB999" s="6"/>
    </row>
    <row r="1000" ht="16.5" customHeight="1">
      <c r="A1000" s="6"/>
      <c r="B1000" s="6"/>
      <c r="C1000" s="6"/>
      <c r="D1000" s="6"/>
      <c r="E1000" s="6"/>
      <c r="F1000" s="6"/>
      <c r="G1000" s="6"/>
      <c r="H1000" s="93"/>
      <c r="I1000" s="93"/>
      <c r="J1000" s="93"/>
      <c r="K1000" s="93"/>
      <c r="L1000" s="93"/>
      <c r="M1000" s="6"/>
      <c r="N1000" s="6"/>
      <c r="O1000" s="6"/>
      <c r="P1000" s="6"/>
      <c r="Q1000" s="6"/>
      <c r="R1000" s="6"/>
      <c r="S1000" s="6"/>
      <c r="T1000" s="6"/>
      <c r="U1000" s="6"/>
      <c r="V1000" s="6"/>
      <c r="W1000" s="6"/>
      <c r="X1000" s="6"/>
      <c r="Y1000" s="6"/>
      <c r="Z1000" s="6"/>
      <c r="AA1000" s="6"/>
      <c r="AB1000" s="6"/>
    </row>
  </sheetData>
  <mergeCells count="55">
    <mergeCell ref="B30:F30"/>
    <mergeCell ref="B31:F31"/>
    <mergeCell ref="G32:S32"/>
    <mergeCell ref="B23:F23"/>
    <mergeCell ref="B24:F24"/>
    <mergeCell ref="B25:F25"/>
    <mergeCell ref="B26:F26"/>
    <mergeCell ref="B27:F27"/>
    <mergeCell ref="B28:F28"/>
    <mergeCell ref="B29:F29"/>
    <mergeCell ref="H9:L9"/>
    <mergeCell ref="H10:L10"/>
    <mergeCell ref="H11:L11"/>
    <mergeCell ref="H12:L12"/>
    <mergeCell ref="H13:L13"/>
    <mergeCell ref="H14:L14"/>
    <mergeCell ref="H15:L15"/>
    <mergeCell ref="A5:F5"/>
    <mergeCell ref="G5:L5"/>
    <mergeCell ref="B6:F6"/>
    <mergeCell ref="H6:L6"/>
    <mergeCell ref="B7:F7"/>
    <mergeCell ref="H7:L7"/>
    <mergeCell ref="H8:L8"/>
    <mergeCell ref="B8:F8"/>
    <mergeCell ref="B9:F9"/>
    <mergeCell ref="B10:F10"/>
    <mergeCell ref="B11:F11"/>
    <mergeCell ref="B12:F12"/>
    <mergeCell ref="B13:F13"/>
    <mergeCell ref="B14:F14"/>
    <mergeCell ref="H18:L18"/>
    <mergeCell ref="H19:L19"/>
    <mergeCell ref="B15:F15"/>
    <mergeCell ref="A16:F16"/>
    <mergeCell ref="G16:L16"/>
    <mergeCell ref="B17:F17"/>
    <mergeCell ref="H17:L17"/>
    <mergeCell ref="B18:F18"/>
    <mergeCell ref="B19:F19"/>
    <mergeCell ref="H24:L24"/>
    <mergeCell ref="H25:L25"/>
    <mergeCell ref="H26:L26"/>
    <mergeCell ref="H27:L27"/>
    <mergeCell ref="H28:L28"/>
    <mergeCell ref="H29:L29"/>
    <mergeCell ref="H30:L30"/>
    <mergeCell ref="H31:L31"/>
    <mergeCell ref="B20:F20"/>
    <mergeCell ref="H20:L20"/>
    <mergeCell ref="B21:F21"/>
    <mergeCell ref="H21:L21"/>
    <mergeCell ref="B22:F22"/>
    <mergeCell ref="H22:L22"/>
    <mergeCell ref="H23:L23"/>
  </mergeCells>
  <hyperlinks>
    <hyperlink r:id="rId1" ref="H10"/>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2.14"/>
    <col customWidth="1" min="2" max="2" width="21.0"/>
    <col customWidth="1" min="3" max="3" width="17.0"/>
    <col customWidth="1" min="4" max="4" width="13.43" outlineLevel="1"/>
    <col customWidth="1" min="5" max="5" width="11.86" outlineLevel="1"/>
    <col customWidth="1" min="6" max="6" width="8.0"/>
    <col customWidth="1" min="7" max="7" width="6.57"/>
    <col customWidth="1" min="8" max="8" width="9.71"/>
    <col customWidth="1" min="9" max="9" width="47.86"/>
    <col customWidth="1" min="10" max="10" width="41.71"/>
    <col customWidth="1" min="11" max="16" width="10.14"/>
    <col customWidth="1" min="17" max="17" width="12.71"/>
    <col customWidth="1" hidden="1" min="18" max="18" width="12.71"/>
    <col customWidth="1" min="19" max="19" width="14.43"/>
    <col customWidth="1" min="20" max="20" width="10.14"/>
    <col customWidth="1" min="21" max="21" width="7.43"/>
    <col customWidth="1" hidden="1" min="22" max="22" width="9.86"/>
    <col customWidth="1" min="23" max="23" width="16.86"/>
    <col customWidth="1" min="24" max="24" width="13.0"/>
    <col customWidth="1" min="25" max="25" width="11.71"/>
    <col customWidth="1" min="26" max="29" width="9.14"/>
  </cols>
  <sheetData>
    <row r="1">
      <c r="A1" s="75" t="s">
        <v>19</v>
      </c>
      <c r="B1" s="76" t="s">
        <v>70</v>
      </c>
      <c r="C1" s="77" t="s">
        <v>71</v>
      </c>
      <c r="D1" s="79" t="s">
        <v>19</v>
      </c>
      <c r="E1" s="82" t="s">
        <v>16</v>
      </c>
      <c r="F1" s="85" t="s">
        <v>75</v>
      </c>
      <c r="G1" s="85" t="s">
        <v>76</v>
      </c>
      <c r="H1" s="87" t="s">
        <v>78</v>
      </c>
      <c r="I1" s="88" t="s">
        <v>81</v>
      </c>
      <c r="J1" s="88" t="s">
        <v>82</v>
      </c>
      <c r="K1" s="90" t="s">
        <v>25</v>
      </c>
      <c r="L1" s="90" t="s">
        <v>26</v>
      </c>
      <c r="M1" s="91" t="s">
        <v>27</v>
      </c>
      <c r="N1" s="91" t="s">
        <v>28</v>
      </c>
      <c r="O1" s="95" t="s">
        <v>29</v>
      </c>
      <c r="P1" s="97" t="s">
        <v>30</v>
      </c>
      <c r="Q1" s="98" t="s">
        <v>85</v>
      </c>
      <c r="R1" s="97" t="s">
        <v>44</v>
      </c>
      <c r="S1" s="99" t="s">
        <v>86</v>
      </c>
      <c r="T1" s="99" t="s">
        <v>87</v>
      </c>
      <c r="U1" s="99" t="s">
        <v>21</v>
      </c>
      <c r="V1" s="101" t="s">
        <v>88</v>
      </c>
      <c r="W1" s="102" t="s">
        <v>89</v>
      </c>
    </row>
    <row r="2">
      <c r="A2" s="103">
        <v>45908.0</v>
      </c>
      <c r="B2" s="104"/>
      <c r="C2" s="104" t="str">
        <f t="array" ref="C2">INDEX(Rankings!$E$2:$E$8, MATCH(1, (Rankings!$D$2:$D$8=A2)*(Rankings!$U$2:$U$8=TRUE()), 0))</f>
        <v>Parker</v>
      </c>
      <c r="D2" s="111">
        <f>A2</f>
        <v>45908</v>
      </c>
      <c r="E2" s="113" t="str">
        <f>$K$1</f>
        <v>Logan</v>
      </c>
      <c r="F2" s="115">
        <f>IFERROR(AVERAGE(Rankings!$K2:$R2), "TBD")</f>
        <v>4.428571429</v>
      </c>
      <c r="G2" s="115">
        <f>IFERROR(_xlfn.STDEV.P(Rankings!$K2:$R2), "TBD")</f>
        <v>2.128523489</v>
      </c>
      <c r="H2" s="117">
        <f>IFERROR(AVERAGE(Rankings!$L2:$R2), "TBD")</f>
        <v>4.833333333</v>
      </c>
      <c r="I2" s="119" t="s">
        <v>104</v>
      </c>
      <c r="J2" s="119" t="s">
        <v>105</v>
      </c>
      <c r="K2" s="120">
        <v>2.0</v>
      </c>
      <c r="L2" s="121">
        <v>7.0</v>
      </c>
      <c r="M2" s="121">
        <v>7.0</v>
      </c>
      <c r="N2" s="121">
        <v>5.0</v>
      </c>
      <c r="O2" s="121">
        <v>5.0</v>
      </c>
      <c r="P2" s="121">
        <v>4.0</v>
      </c>
      <c r="Q2" s="122"/>
      <c r="R2" s="121">
        <v>1.0</v>
      </c>
      <c r="S2" s="126">
        <f>IF(SUM(Rankings!$K2:$R2)&gt;0, COUNTIFS(Rankings!$D$2:$D$987, Rankings!$D2, Rankings!$F$2:$F$987, "&lt;"&amp;Rankings!$F2) + COUNTIFS(Rankings!$D$2:$D$987, Rankings!$D2, Rankings!$F$2:$F$987, Rankings!$F2, Rankings!$G$2:$G$987, "&lt;"&amp;Rankings!$G2)+1, "TBD")</f>
        <v>5</v>
      </c>
      <c r="T2" s="127">
        <v>1.0</v>
      </c>
      <c r="U2" s="128" t="b">
        <f>Rankings!$S2=Rankings!$T2</f>
        <v>0</v>
      </c>
      <c r="V2" s="130"/>
      <c r="W2" s="133"/>
    </row>
    <row r="3">
      <c r="A3" s="134"/>
      <c r="B3" s="134"/>
      <c r="C3" s="134"/>
      <c r="D3" s="136">
        <f>D2</f>
        <v>45908</v>
      </c>
      <c r="E3" s="138" t="str">
        <f>$L$1</f>
        <v>Parker</v>
      </c>
      <c r="F3" s="140">
        <f>IFERROR(AVERAGE(Rankings!$K3:$R3), "TBD")</f>
        <v>2.142857143</v>
      </c>
      <c r="G3" s="140">
        <f>IFERROR(_xlfn.STDEV.P(Rankings!$K3:$R3), "TBD")</f>
        <v>0.638876565</v>
      </c>
      <c r="H3" s="141">
        <f>IFERROR(AVERAGE(Rankings!$K3, Rankings!$M3:$R3), "TBD")</f>
        <v>2.166666667</v>
      </c>
      <c r="I3" s="142" t="s">
        <v>115</v>
      </c>
      <c r="J3" s="142" t="s">
        <v>116</v>
      </c>
      <c r="K3" s="143">
        <v>3.0</v>
      </c>
      <c r="L3" s="144">
        <v>2.0</v>
      </c>
      <c r="M3" s="144">
        <v>2.0</v>
      </c>
      <c r="N3" s="144">
        <v>3.0</v>
      </c>
      <c r="O3" s="144">
        <v>2.0</v>
      </c>
      <c r="P3" s="144">
        <v>1.0</v>
      </c>
      <c r="Q3" s="122"/>
      <c r="R3" s="144">
        <v>2.0</v>
      </c>
      <c r="S3" s="147">
        <f>IF(SUM(Rankings!$K3:$R3)&gt;0, COUNTIFS(Rankings!$D$2:$D$987, Rankings!$D3, Rankings!$F$2:$F$987, "&lt;"&amp;Rankings!$F3) + COUNTIFS(Rankings!$D$2:$D$987, Rankings!$D3, Rankings!$F$2:$F$987, Rankings!$F3, Rankings!$G$2:$G$987, "&lt;"&amp;Rankings!$G3)+1, "TBD")</f>
        <v>1</v>
      </c>
      <c r="T3" s="149">
        <v>1.0</v>
      </c>
      <c r="U3" s="151" t="b">
        <f>Rankings!$S3=Rankings!$T3</f>
        <v>1</v>
      </c>
      <c r="V3" s="152"/>
      <c r="W3" s="153"/>
    </row>
    <row r="4">
      <c r="A4" s="134"/>
      <c r="B4" s="134"/>
      <c r="C4" s="134"/>
      <c r="D4" s="155">
        <f>D2</f>
        <v>45908</v>
      </c>
      <c r="E4" s="156" t="str">
        <f>$M$1</f>
        <v>Giacomo</v>
      </c>
      <c r="F4" s="159">
        <f>IFERROR(AVERAGE(Rankings!$K4:$R4), "TBD")</f>
        <v>4.142857143</v>
      </c>
      <c r="G4" s="159">
        <f>IFERROR(_xlfn.STDEV.P(Rankings!$K4:$R4), "TBD")</f>
        <v>1.958758457</v>
      </c>
      <c r="H4" s="161">
        <f>IFERROR(AVERAGE(Rankings!$K4:$L4, Rankings!$N4:$R4), "TBD")</f>
        <v>4.666666667</v>
      </c>
      <c r="I4" s="162" t="s">
        <v>128</v>
      </c>
      <c r="J4" s="162" t="s">
        <v>129</v>
      </c>
      <c r="K4" s="143">
        <v>4.0</v>
      </c>
      <c r="L4" s="144">
        <v>4.0</v>
      </c>
      <c r="M4" s="144">
        <v>1.0</v>
      </c>
      <c r="N4" s="144">
        <v>2.0</v>
      </c>
      <c r="O4" s="144">
        <v>7.0</v>
      </c>
      <c r="P4" s="144">
        <v>5.0</v>
      </c>
      <c r="Q4" s="122"/>
      <c r="R4" s="144">
        <v>6.0</v>
      </c>
      <c r="S4" s="147">
        <f>IF(SUM(Rankings!$K4:$R4)&gt;0, COUNTIFS(Rankings!$D$2:$D$987, Rankings!$D4, Rankings!$F$2:$F$987, "&lt;"&amp;Rankings!$F4) + COUNTIFS(Rankings!$D$2:$D$987, Rankings!$D4, Rankings!$F$2:$F$987, Rankings!$F4, Rankings!$G$2:$G$987, "&lt;"&amp;Rankings!$G4)+1, "TBD")</f>
        <v>3</v>
      </c>
      <c r="T4" s="167">
        <v>1.0</v>
      </c>
      <c r="U4" s="169" t="b">
        <f>Rankings!$S4=Rankings!$T4</f>
        <v>0</v>
      </c>
      <c r="V4" s="170"/>
      <c r="W4" s="153"/>
    </row>
    <row r="5">
      <c r="A5" s="134"/>
      <c r="B5" s="134"/>
      <c r="C5" s="134"/>
      <c r="D5" s="136">
        <f>D2</f>
        <v>45908</v>
      </c>
      <c r="E5" s="175" t="str">
        <f>$N$1</f>
        <v>Rosey</v>
      </c>
      <c r="F5" s="140">
        <f>IFERROR(AVERAGE(Rankings!$K5:$R5), "TBD")</f>
        <v>4.857142857</v>
      </c>
      <c r="G5" s="140">
        <f>IFERROR(_xlfn.STDEV.P(Rankings!$K5:$R5), "TBD")</f>
        <v>1.807015806</v>
      </c>
      <c r="H5" s="141">
        <f>IFERROR(AVERAGE(Rankings!$K5:$M5, Rankings!$O5:$R5), "TBD")</f>
        <v>5.5</v>
      </c>
      <c r="I5" s="142" t="s">
        <v>147</v>
      </c>
      <c r="J5" s="142" t="s">
        <v>148</v>
      </c>
      <c r="K5" s="143">
        <v>5.0</v>
      </c>
      <c r="L5" s="144">
        <v>6.0</v>
      </c>
      <c r="M5" s="144">
        <v>6.0</v>
      </c>
      <c r="N5" s="144">
        <v>1.0</v>
      </c>
      <c r="O5" s="144">
        <v>4.0</v>
      </c>
      <c r="P5" s="144">
        <v>7.0</v>
      </c>
      <c r="Q5" s="122"/>
      <c r="R5" s="144">
        <v>5.0</v>
      </c>
      <c r="S5" s="147">
        <f>IF(SUM(Rankings!$K5:$R5)&gt;0, COUNTIFS(Rankings!$D$2:$D$987, Rankings!$D5, Rankings!$F$2:$F$987, "&lt;"&amp;Rankings!$F5) + COUNTIFS(Rankings!$D$2:$D$987, Rankings!$D5, Rankings!$F$2:$F$987, Rankings!$F5, Rankings!$G$2:$G$987, "&lt;"&amp;Rankings!$G5)+1, "TBD")</f>
        <v>6</v>
      </c>
      <c r="T5" s="149">
        <v>1.0</v>
      </c>
      <c r="U5" s="151" t="b">
        <f>Rankings!$S5=Rankings!$T5</f>
        <v>0</v>
      </c>
      <c r="V5" s="152"/>
      <c r="W5" s="153"/>
    </row>
    <row r="6">
      <c r="A6" s="134"/>
      <c r="B6" s="134"/>
      <c r="C6" s="134"/>
      <c r="D6" s="155">
        <f t="shared" ref="D6:D8" si="1">D2</f>
        <v>45908</v>
      </c>
      <c r="E6" s="156" t="str">
        <f>$O$1</f>
        <v>TTAC</v>
      </c>
      <c r="F6" s="159">
        <f>IFERROR(AVERAGE(Rankings!$K6:$R6), "TBD")</f>
        <v>5</v>
      </c>
      <c r="G6" s="159">
        <f>IFERROR(_xlfn.STDEV.P(Rankings!$K6:$R6), "TBD")</f>
        <v>2.070196678</v>
      </c>
      <c r="H6" s="161">
        <f>IFERROR(AVERAGE(Rankings!$K6:$N6, Rankings!$P6:$R6), "TBD")</f>
        <v>5.666666667</v>
      </c>
      <c r="I6" s="162" t="s">
        <v>157</v>
      </c>
      <c r="J6" s="162" t="s">
        <v>158</v>
      </c>
      <c r="K6" s="143">
        <v>7.0</v>
      </c>
      <c r="L6" s="144">
        <v>5.0</v>
      </c>
      <c r="M6" s="144">
        <v>3.0</v>
      </c>
      <c r="N6" s="144">
        <v>6.0</v>
      </c>
      <c r="O6" s="144">
        <v>1.0</v>
      </c>
      <c r="P6" s="144">
        <v>6.0</v>
      </c>
      <c r="Q6" s="122"/>
      <c r="R6" s="144">
        <v>7.0</v>
      </c>
      <c r="S6" s="147">
        <f>IF(SUM(Rankings!$K6:$R6)&gt;0, COUNTIFS(Rankings!$D$2:$D$987, Rankings!$D6, Rankings!$F$2:$F$987, "&lt;"&amp;Rankings!$F6) + COUNTIFS(Rankings!$D$2:$D$987, Rankings!$D6, Rankings!$F$2:$F$987, Rankings!$F6, Rankings!$G$2:$G$987, "&lt;"&amp;Rankings!$G6)+1, "TBD")</f>
        <v>7</v>
      </c>
      <c r="T6" s="167">
        <v>1.0</v>
      </c>
      <c r="U6" s="169" t="b">
        <f>Rankings!$S6=Rankings!$T6</f>
        <v>0</v>
      </c>
      <c r="V6" s="170"/>
      <c r="W6" s="153"/>
    </row>
    <row r="7">
      <c r="A7" s="134"/>
      <c r="B7" s="134"/>
      <c r="C7" s="134"/>
      <c r="D7" s="136">
        <f t="shared" si="1"/>
        <v>45908</v>
      </c>
      <c r="E7" s="175" t="str">
        <f>$P$1</f>
        <v>Weston</v>
      </c>
      <c r="F7" s="140">
        <f>IFERROR(AVERAGE(Rankings!$K7:$R7), "TBD")</f>
        <v>3.142857143</v>
      </c>
      <c r="G7" s="140">
        <f>IFERROR(_xlfn.STDEV.P(Rankings!$K7:$R7), "TBD")</f>
        <v>1.726149425</v>
      </c>
      <c r="H7" s="141">
        <f>IFERROR(AVERAGE(Rankings!$K7:$O7, Rankings!$R7), "TBD")</f>
        <v>3.333333333</v>
      </c>
      <c r="I7" s="142" t="s">
        <v>159</v>
      </c>
      <c r="J7" s="142" t="s">
        <v>160</v>
      </c>
      <c r="K7" s="143">
        <v>1.0</v>
      </c>
      <c r="L7" s="144">
        <v>1.0</v>
      </c>
      <c r="M7" s="144">
        <v>4.0</v>
      </c>
      <c r="N7" s="144">
        <v>4.0</v>
      </c>
      <c r="O7" s="144">
        <v>6.0</v>
      </c>
      <c r="P7" s="144">
        <v>2.0</v>
      </c>
      <c r="Q7" s="122"/>
      <c r="R7" s="144">
        <v>4.0</v>
      </c>
      <c r="S7" s="147">
        <f>IF(SUM(Rankings!$K7:$R7)&gt;0, COUNTIFS(Rankings!$D$2:$D$987, Rankings!$D7, Rankings!$F$2:$F$987, "&lt;"&amp;Rankings!$F7) + COUNTIFS(Rankings!$D$2:$D$987, Rankings!$D7, Rankings!$F$2:$F$987, Rankings!$F7, Rankings!$G$2:$G$987, "&lt;"&amp;Rankings!$G7)+1, "TBD")</f>
        <v>2</v>
      </c>
      <c r="T7" s="149">
        <v>1.0</v>
      </c>
      <c r="U7" s="151" t="b">
        <f>Rankings!$S7=Rankings!$T7</f>
        <v>0</v>
      </c>
      <c r="V7" s="152"/>
      <c r="W7" s="153"/>
    </row>
    <row r="8">
      <c r="A8" s="189"/>
      <c r="B8" s="189"/>
      <c r="C8" s="189"/>
      <c r="D8" s="190">
        <f t="shared" si="1"/>
        <v>45908</v>
      </c>
      <c r="E8" s="191" t="str">
        <f>$R$1</f>
        <v>Jake</v>
      </c>
      <c r="F8" s="193">
        <f>IFERROR(AVERAGE(Rankings!$K8:$R8), "TBD")</f>
        <v>4.285714286</v>
      </c>
      <c r="G8" s="193">
        <f>IFERROR(_xlfn.STDEV.P(Rankings!$K8:$R8), "TBD")</f>
        <v>1.577908717</v>
      </c>
      <c r="H8" s="196">
        <f>IFERROR(AVERAGE(Rankings!$K8:$P8), "TBD")</f>
        <v>4.5</v>
      </c>
      <c r="I8" s="197" t="s">
        <v>165</v>
      </c>
      <c r="J8" s="197" t="s">
        <v>166</v>
      </c>
      <c r="K8" s="199">
        <v>6.0</v>
      </c>
      <c r="L8" s="201">
        <v>3.0</v>
      </c>
      <c r="M8" s="201">
        <v>5.0</v>
      </c>
      <c r="N8" s="201">
        <v>7.0</v>
      </c>
      <c r="O8" s="201">
        <v>3.0</v>
      </c>
      <c r="P8" s="201">
        <v>3.0</v>
      </c>
      <c r="Q8" s="122"/>
      <c r="R8" s="201">
        <v>3.0</v>
      </c>
      <c r="S8" s="203">
        <f>IF(SUM(Rankings!$K8:$R8)&gt;0, COUNTIFS(Rankings!$D$2:$D$987, Rankings!$D8, Rankings!$F$2:$F$987, "&lt;"&amp;Rankings!$F8) + COUNTIFS(Rankings!$D$2:$D$987, Rankings!$D8, Rankings!$F$2:$F$987, Rankings!$F8, Rankings!$G$2:$G$987, "&lt;"&amp;Rankings!$G8)+1, "TBD")</f>
        <v>4</v>
      </c>
      <c r="T8" s="205">
        <v>1.0</v>
      </c>
      <c r="U8" s="206" t="b">
        <f>Rankings!$S8=Rankings!$T8</f>
        <v>0</v>
      </c>
      <c r="V8" s="207"/>
      <c r="W8" s="208"/>
    </row>
    <row r="9">
      <c r="A9" s="103">
        <v>45910.0</v>
      </c>
      <c r="B9" s="104"/>
      <c r="C9" s="104" t="str">
        <f t="array" ref="C9">INDEX(Rankings!$E$9:$E$15, MATCH(1, (Rankings!$D$9:$D$15=A9)*(Rankings!$U$9:$U$15=TRUE()), 0))</f>
        <v>Giacomo</v>
      </c>
      <c r="D9" s="111">
        <f>A9</f>
        <v>45910</v>
      </c>
      <c r="E9" s="113" t="str">
        <f>$K$1</f>
        <v>Logan</v>
      </c>
      <c r="F9" s="115">
        <f>IFERROR(AVERAGE(Rankings!$K9:$R9), "TBD")</f>
        <v>4</v>
      </c>
      <c r="G9" s="115">
        <f>IFERROR(_xlfn.STDEV.P(Rankings!$K9:$R9), "TBD")</f>
        <v>2.20389266</v>
      </c>
      <c r="H9" s="117">
        <f>IFERROR(AVERAGE(Rankings!$L9:$R9), "TBD")</f>
        <v>4.333333333</v>
      </c>
      <c r="I9" s="119" t="s">
        <v>190</v>
      </c>
      <c r="J9" s="119" t="s">
        <v>191</v>
      </c>
      <c r="K9" s="120">
        <v>2.0</v>
      </c>
      <c r="L9" s="121">
        <v>2.0</v>
      </c>
      <c r="M9" s="121">
        <v>7.0</v>
      </c>
      <c r="N9" s="121">
        <v>1.0</v>
      </c>
      <c r="O9" s="121">
        <v>6.0</v>
      </c>
      <c r="P9" s="121">
        <v>4.0</v>
      </c>
      <c r="Q9" s="122"/>
      <c r="R9" s="216">
        <v>6.0</v>
      </c>
      <c r="S9" s="126">
        <f>IF(SUM(Rankings!$K9:$R9)&gt;0, COUNTIFS(Rankings!$D$2:$D$987, Rankings!$D9, Rankings!$F$2:$F$987, "&lt;"&amp;Rankings!$F9) + COUNTIFS(Rankings!$D$2:$D$987, Rankings!$D9, Rankings!$F$2:$F$987, Rankings!$F9, Rankings!$G$2:$G$987, "&lt;"&amp;Rankings!$G9)+1, "TBD")</f>
        <v>4</v>
      </c>
      <c r="T9" s="217">
        <v>1.0</v>
      </c>
      <c r="U9" s="217" t="b">
        <f>Rankings!$S9=Rankings!$T9</f>
        <v>0</v>
      </c>
      <c r="V9" s="133"/>
      <c r="W9" s="133"/>
    </row>
    <row r="10">
      <c r="A10" s="134"/>
      <c r="B10" s="134"/>
      <c r="C10" s="134"/>
      <c r="D10" s="219">
        <f>D9</f>
        <v>45910</v>
      </c>
      <c r="E10" s="138" t="str">
        <f>$L$1</f>
        <v>Parker</v>
      </c>
      <c r="F10" s="220">
        <f>IFERROR(AVERAGE(Rankings!$K10:$R10), "TBD")</f>
        <v>2.714285714</v>
      </c>
      <c r="G10" s="220">
        <f>IFERROR(_xlfn.STDEV.P(Rankings!$K10:$R10), "TBD")</f>
        <v>1.27775313</v>
      </c>
      <c r="H10" s="221">
        <f>IFERROR(AVERAGE(Rankings!$K10, Rankings!$M10:$R10), "TBD")</f>
        <v>3</v>
      </c>
      <c r="I10" s="222" t="s">
        <v>197</v>
      </c>
      <c r="J10" s="222" t="s">
        <v>198</v>
      </c>
      <c r="K10" s="143">
        <v>4.0</v>
      </c>
      <c r="L10" s="144">
        <v>1.0</v>
      </c>
      <c r="M10" s="144">
        <v>2.0</v>
      </c>
      <c r="N10" s="144">
        <v>4.0</v>
      </c>
      <c r="O10" s="144">
        <v>4.0</v>
      </c>
      <c r="P10" s="144">
        <v>3.0</v>
      </c>
      <c r="Q10" s="122"/>
      <c r="R10" s="223">
        <v>1.0</v>
      </c>
      <c r="S10" s="147">
        <f>IF(SUM(Rankings!$K10:$R10)&gt;0, COUNTIFS(Rankings!$D$2:$D$987, Rankings!$D10, Rankings!$F$2:$F$987, "&lt;"&amp;Rankings!$F10) + COUNTIFS(Rankings!$D$2:$D$987, Rankings!$D10, Rankings!$F$2:$F$987, Rankings!$F10, Rankings!$G$2:$G$987, "&lt;"&amp;Rankings!$G10)+1, "TBD")</f>
        <v>2</v>
      </c>
      <c r="T10" s="225">
        <v>1.0</v>
      </c>
      <c r="U10" s="225" t="b">
        <f>Rankings!$S10=Rankings!$T10</f>
        <v>0</v>
      </c>
      <c r="V10" s="226"/>
      <c r="W10" s="153"/>
    </row>
    <row r="11">
      <c r="A11" s="134"/>
      <c r="B11" s="134"/>
      <c r="C11" s="134"/>
      <c r="D11" s="219">
        <f>D9</f>
        <v>45910</v>
      </c>
      <c r="E11" s="227" t="str">
        <f>$M$1</f>
        <v>Giacomo</v>
      </c>
      <c r="F11" s="220">
        <f>IFERROR(AVERAGE(Rankings!$K11:$R11), "TBD")</f>
        <v>1.857142857</v>
      </c>
      <c r="G11" s="220">
        <f>IFERROR(_xlfn.STDEV.P(Rankings!$K11:$R11), "TBD")</f>
        <v>0.8329931278</v>
      </c>
      <c r="H11" s="221">
        <f>IFERROR(AVERAGE(Rankings!$K11:$L11, Rankings!$N11:$R11), "TBD")</f>
        <v>2</v>
      </c>
      <c r="I11" s="222" t="s">
        <v>213</v>
      </c>
      <c r="J11" s="222" t="s">
        <v>215</v>
      </c>
      <c r="K11" s="143">
        <v>1.0</v>
      </c>
      <c r="L11" s="144">
        <v>3.0</v>
      </c>
      <c r="M11" s="144">
        <v>1.0</v>
      </c>
      <c r="N11" s="144">
        <v>3.0</v>
      </c>
      <c r="O11" s="144">
        <v>1.0</v>
      </c>
      <c r="P11" s="144">
        <v>2.0</v>
      </c>
      <c r="Q11" s="122"/>
      <c r="R11" s="223">
        <v>2.0</v>
      </c>
      <c r="S11" s="147">
        <f>IF(SUM(Rankings!$K11:$R11)&gt;0, COUNTIFS(Rankings!$D$2:$D$987, Rankings!$D11, Rankings!$F$2:$F$987, "&lt;"&amp;Rankings!$F11) + COUNTIFS(Rankings!$D$2:$D$987, Rankings!$D11, Rankings!$F$2:$F$987, Rankings!$F11, Rankings!$G$2:$G$987, "&lt;"&amp;Rankings!$G11)+1, "TBD")</f>
        <v>1</v>
      </c>
      <c r="T11" s="225">
        <v>1.0</v>
      </c>
      <c r="U11" s="225" t="b">
        <f>Rankings!$S11=Rankings!$T11</f>
        <v>1</v>
      </c>
      <c r="V11" s="226"/>
      <c r="W11" s="153"/>
    </row>
    <row r="12">
      <c r="A12" s="134"/>
      <c r="B12" s="134"/>
      <c r="C12" s="134"/>
      <c r="D12" s="219">
        <f>D9</f>
        <v>45910</v>
      </c>
      <c r="E12" s="227" t="str">
        <f>$N$1</f>
        <v>Rosey</v>
      </c>
      <c r="F12" s="220">
        <f>IFERROR(AVERAGE(Rankings!$K12:$R12), "TBD")</f>
        <v>5.142857143</v>
      </c>
      <c r="G12" s="220">
        <f>IFERROR(_xlfn.STDEV.P(Rankings!$K12:$R12), "TBD")</f>
        <v>1.807015806</v>
      </c>
      <c r="H12" s="221">
        <f>IFERROR(AVERAGE(Rankings!$K12:$M12, Rankings!$O12:$R12), "TBD")</f>
        <v>5.666666667</v>
      </c>
      <c r="I12" s="222" t="s">
        <v>230</v>
      </c>
      <c r="J12" s="222" t="s">
        <v>231</v>
      </c>
      <c r="K12" s="143">
        <v>3.0</v>
      </c>
      <c r="L12" s="144">
        <v>6.0</v>
      </c>
      <c r="M12" s="144">
        <v>6.0</v>
      </c>
      <c r="N12" s="144">
        <v>2.0</v>
      </c>
      <c r="O12" s="144">
        <v>7.0</v>
      </c>
      <c r="P12" s="144">
        <v>7.0</v>
      </c>
      <c r="Q12" s="122"/>
      <c r="R12" s="223">
        <v>5.0</v>
      </c>
      <c r="S12" s="147">
        <f>IF(SUM(Rankings!$K12:$R12)&gt;0, COUNTIFS(Rankings!$D$2:$D$987, Rankings!$D12, Rankings!$F$2:$F$987, "&lt;"&amp;Rankings!$F12) + COUNTIFS(Rankings!$D$2:$D$987, Rankings!$D12, Rankings!$F$2:$F$987, Rankings!$F12, Rankings!$G$2:$G$987, "&lt;"&amp;Rankings!$G12)+1, "TBD")</f>
        <v>6</v>
      </c>
      <c r="T12" s="225">
        <v>1.0</v>
      </c>
      <c r="U12" s="225" t="b">
        <f>Rankings!$S12=Rankings!$T12</f>
        <v>0</v>
      </c>
      <c r="V12" s="226"/>
      <c r="W12" s="153"/>
    </row>
    <row r="13">
      <c r="A13" s="134"/>
      <c r="B13" s="134"/>
      <c r="C13" s="134"/>
      <c r="D13" s="219">
        <f t="shared" ref="D13:D15" si="2">D9</f>
        <v>45910</v>
      </c>
      <c r="E13" s="227" t="str">
        <f>$O$1</f>
        <v>TTAC</v>
      </c>
      <c r="F13" s="220">
        <f>IFERROR(AVERAGE(Rankings!$K13:$R13), "TBD")</f>
        <v>6.285714286</v>
      </c>
      <c r="G13" s="220">
        <f>IFERROR(_xlfn.STDEV.P(Rankings!$K13:$R13), "TBD")</f>
        <v>0.8806305719</v>
      </c>
      <c r="H13" s="221">
        <f>IFERROR(AVERAGE(Rankings!$K13:$N13, Rankings!$P13:$R13), "TBD")</f>
        <v>6.5</v>
      </c>
      <c r="I13" s="222" t="s">
        <v>243</v>
      </c>
      <c r="J13" s="222" t="s">
        <v>244</v>
      </c>
      <c r="K13" s="143">
        <v>7.0</v>
      </c>
      <c r="L13" s="144">
        <v>7.0</v>
      </c>
      <c r="M13" s="144">
        <v>5.0</v>
      </c>
      <c r="N13" s="144">
        <v>7.0</v>
      </c>
      <c r="O13" s="144">
        <v>5.0</v>
      </c>
      <c r="P13" s="144">
        <v>6.0</v>
      </c>
      <c r="Q13" s="122"/>
      <c r="R13" s="223">
        <v>7.0</v>
      </c>
      <c r="S13" s="147">
        <f>IF(SUM(Rankings!$K13:$R13)&gt;0, COUNTIFS(Rankings!$D$2:$D$987, Rankings!$D13, Rankings!$F$2:$F$987, "&lt;"&amp;Rankings!$F13) + COUNTIFS(Rankings!$D$2:$D$987, Rankings!$D13, Rankings!$F$2:$F$987, Rankings!$F13, Rankings!$G$2:$G$987, "&lt;"&amp;Rankings!$G13)+1, "TBD")</f>
        <v>7</v>
      </c>
      <c r="T13" s="225">
        <v>1.0</v>
      </c>
      <c r="U13" s="225" t="b">
        <f>Rankings!$S13=Rankings!$T13</f>
        <v>0</v>
      </c>
      <c r="V13" s="226"/>
      <c r="W13" s="153"/>
    </row>
    <row r="14">
      <c r="A14" s="134"/>
      <c r="B14" s="134"/>
      <c r="C14" s="134"/>
      <c r="D14" s="219">
        <f t="shared" si="2"/>
        <v>45910</v>
      </c>
      <c r="E14" s="227" t="str">
        <f>$P$1</f>
        <v>Weston</v>
      </c>
      <c r="F14" s="220">
        <f>IFERROR(AVERAGE(Rankings!$K14:$R14), "TBD")</f>
        <v>3.857142857</v>
      </c>
      <c r="G14" s="220">
        <f>IFERROR(_xlfn.STDEV.P(Rankings!$K14:$R14), "TBD")</f>
        <v>1.726149425</v>
      </c>
      <c r="H14" s="221">
        <f>IFERROR(AVERAGE(Rankings!$K14:$O14, Rankings!$R14), "TBD")</f>
        <v>4.333333333</v>
      </c>
      <c r="I14" s="222" t="s">
        <v>255</v>
      </c>
      <c r="J14" s="222" t="s">
        <v>256</v>
      </c>
      <c r="K14" s="143">
        <v>6.0</v>
      </c>
      <c r="L14" s="144">
        <v>4.0</v>
      </c>
      <c r="M14" s="144">
        <v>4.0</v>
      </c>
      <c r="N14" s="144">
        <v>6.0</v>
      </c>
      <c r="O14" s="144">
        <v>2.0</v>
      </c>
      <c r="P14" s="144">
        <v>1.0</v>
      </c>
      <c r="Q14" s="122"/>
      <c r="R14" s="223">
        <v>4.0</v>
      </c>
      <c r="S14" s="147">
        <f>IF(SUM(Rankings!$K14:$R14)&gt;0, COUNTIFS(Rankings!$D$2:$D$987, Rankings!$D14, Rankings!$F$2:$F$987, "&lt;"&amp;Rankings!$F14) + COUNTIFS(Rankings!$D$2:$D$987, Rankings!$D14, Rankings!$F$2:$F$987, Rankings!$F14, Rankings!$G$2:$G$987, "&lt;"&amp;Rankings!$G14)+1, "TBD")</f>
        <v>3</v>
      </c>
      <c r="T14" s="225">
        <v>1.0</v>
      </c>
      <c r="U14" s="225" t="b">
        <f>Rankings!$S14=Rankings!$T14</f>
        <v>0</v>
      </c>
      <c r="V14" s="226"/>
      <c r="W14" s="153"/>
    </row>
    <row r="15">
      <c r="A15" s="189"/>
      <c r="B15" s="189"/>
      <c r="C15" s="189"/>
      <c r="D15" s="235">
        <f t="shared" si="2"/>
        <v>45910</v>
      </c>
      <c r="E15" s="237" t="str">
        <f>$R$1</f>
        <v>Jake</v>
      </c>
      <c r="F15" s="240">
        <f>IFERROR(AVERAGE(Rankings!$K15:$R15), "TBD")</f>
        <v>4.142857143</v>
      </c>
      <c r="G15" s="240">
        <f>IFERROR(_xlfn.STDEV.P(Rankings!$K15:$R15), "TBD")</f>
        <v>0.9897433186</v>
      </c>
      <c r="H15" s="242">
        <f>IFERROR(AVERAGE(Rankings!$K15:$P15), "TBD")</f>
        <v>4.333333333</v>
      </c>
      <c r="I15" s="243" t="s">
        <v>258</v>
      </c>
      <c r="J15" s="243" t="s">
        <v>259</v>
      </c>
      <c r="K15" s="199">
        <v>5.0</v>
      </c>
      <c r="L15" s="201">
        <v>5.0</v>
      </c>
      <c r="M15" s="201">
        <v>3.0</v>
      </c>
      <c r="N15" s="201">
        <v>5.0</v>
      </c>
      <c r="O15" s="201">
        <v>3.0</v>
      </c>
      <c r="P15" s="201">
        <v>5.0</v>
      </c>
      <c r="Q15" s="122"/>
      <c r="R15" s="244">
        <v>3.0</v>
      </c>
      <c r="S15" s="203">
        <f>IF(SUM(Rankings!$K15:$R15)&gt;0, COUNTIFS(Rankings!$D$2:$D$987, Rankings!$D15, Rankings!$F$2:$F$987, "&lt;"&amp;Rankings!$F15) + COUNTIFS(Rankings!$D$2:$D$987, Rankings!$D15, Rankings!$F$2:$F$987, Rankings!$F15, Rankings!$G$2:$G$987, "&lt;"&amp;Rankings!$G15)+1, "TBD")</f>
        <v>5</v>
      </c>
      <c r="T15" s="247">
        <v>1.0</v>
      </c>
      <c r="U15" s="247" t="b">
        <f>Rankings!$S15=Rankings!$T15</f>
        <v>0</v>
      </c>
      <c r="V15" s="248"/>
      <c r="W15" s="208"/>
    </row>
    <row r="16">
      <c r="A16" s="103">
        <v>45912.0</v>
      </c>
      <c r="B16" s="104"/>
      <c r="C16" s="104" t="str">
        <f t="array" ref="C16">INDEX(Rankings!$E$16:$E$22, MATCH(1, (Rankings!$D$16:$D$22=A16)*(Rankings!$U$16:$U$22=TRUE()), 0))</f>
        <v>Rosey</v>
      </c>
      <c r="D16" s="111">
        <f>A16</f>
        <v>45912</v>
      </c>
      <c r="E16" s="113" t="str">
        <f>$K$1</f>
        <v>Logan</v>
      </c>
      <c r="F16" s="115">
        <f>IFERROR(AVERAGE(Rankings!$K16:$R16), "TBD")</f>
        <v>3.285714286</v>
      </c>
      <c r="G16" s="115">
        <f>IFERROR(_xlfn.STDEV.P(Rankings!$K16:$R16), "TBD")</f>
        <v>1.905952009</v>
      </c>
      <c r="H16" s="117">
        <f>IFERROR(AVERAGE(Rankings!$L16:$R16), "TBD")</f>
        <v>3.666666667</v>
      </c>
      <c r="I16" s="119" t="s">
        <v>261</v>
      </c>
      <c r="J16" s="119" t="s">
        <v>262</v>
      </c>
      <c r="K16" s="120">
        <v>1.0</v>
      </c>
      <c r="L16" s="121">
        <v>4.0</v>
      </c>
      <c r="M16" s="121">
        <v>3.0</v>
      </c>
      <c r="N16" s="121">
        <v>3.0</v>
      </c>
      <c r="O16" s="121">
        <v>7.0</v>
      </c>
      <c r="P16" s="121">
        <v>4.0</v>
      </c>
      <c r="Q16" s="122"/>
      <c r="R16" s="216">
        <v>1.0</v>
      </c>
      <c r="S16" s="126">
        <f>IF(SUM(Rankings!$K16:$R16)&gt;0, COUNTIFS(Rankings!$D$2:$D$987, Rankings!$D16, Rankings!$F$2:$F$987, "&lt;"&amp;Rankings!$F16) + COUNTIFS(Rankings!$D$2:$D$987, Rankings!$D16, Rankings!$F$2:$F$987, Rankings!$F16, Rankings!$G$2:$G$987, "&lt;"&amp;Rankings!$G16)+1, "TBD")</f>
        <v>2</v>
      </c>
      <c r="T16" s="217">
        <v>1.0</v>
      </c>
      <c r="U16" s="217" t="b">
        <f>Rankings!$S16=Rankings!$T16</f>
        <v>0</v>
      </c>
      <c r="V16" s="133"/>
      <c r="W16" s="133"/>
    </row>
    <row r="17">
      <c r="A17" s="134"/>
      <c r="B17" s="134"/>
      <c r="C17" s="134"/>
      <c r="D17" s="219">
        <f>D16</f>
        <v>45912</v>
      </c>
      <c r="E17" s="138" t="str">
        <f>$L$1</f>
        <v>Parker</v>
      </c>
      <c r="F17" s="220">
        <f>IFERROR(AVERAGE(Rankings!$K17:$R17), "TBD")</f>
        <v>4</v>
      </c>
      <c r="G17" s="220">
        <f>IFERROR(_xlfn.STDEV.P(Rankings!$K17:$R17), "TBD")</f>
        <v>1.927248223</v>
      </c>
      <c r="H17" s="221">
        <f>IFERROR(AVERAGE(Rankings!$K17, Rankings!$M17:$R17), "TBD")</f>
        <v>4.5</v>
      </c>
      <c r="I17" s="222" t="s">
        <v>263</v>
      </c>
      <c r="J17" s="222" t="s">
        <v>264</v>
      </c>
      <c r="K17" s="143">
        <v>6.0</v>
      </c>
      <c r="L17" s="144">
        <v>1.0</v>
      </c>
      <c r="M17" s="144">
        <v>4.0</v>
      </c>
      <c r="N17" s="144">
        <v>6.0</v>
      </c>
      <c r="O17" s="144">
        <v>2.0</v>
      </c>
      <c r="P17" s="144">
        <v>3.0</v>
      </c>
      <c r="Q17" s="122"/>
      <c r="R17" s="223">
        <v>6.0</v>
      </c>
      <c r="S17" s="147">
        <f>IF(SUM(Rankings!$K17:$R17)&gt;0, COUNTIFS(Rankings!$D$2:$D$987, Rankings!$D17, Rankings!$F$2:$F$987, "&lt;"&amp;Rankings!$F17) + COUNTIFS(Rankings!$D$2:$D$987, Rankings!$D17, Rankings!$F$2:$F$987, Rankings!$F17, Rankings!$G$2:$G$987, "&lt;"&amp;Rankings!$G17)+1, "TBD")</f>
        <v>3</v>
      </c>
      <c r="T17" s="225">
        <v>1.0</v>
      </c>
      <c r="U17" s="225" t="b">
        <f>Rankings!$S17=Rankings!$T17</f>
        <v>0</v>
      </c>
      <c r="V17" s="226"/>
      <c r="W17" s="153"/>
    </row>
    <row r="18">
      <c r="A18" s="134"/>
      <c r="B18" s="134"/>
      <c r="C18" s="134"/>
      <c r="D18" s="219">
        <f>D16</f>
        <v>45912</v>
      </c>
      <c r="E18" s="227" t="str">
        <f>$M$1</f>
        <v>Giacomo</v>
      </c>
      <c r="F18" s="220">
        <f>IFERROR(AVERAGE(Rankings!$K18:$R18), "TBD")</f>
        <v>4.285714286</v>
      </c>
      <c r="G18" s="220">
        <f>IFERROR(_xlfn.STDEV.P(Rankings!$K18:$R18), "TBD")</f>
        <v>1.484614978</v>
      </c>
      <c r="H18" s="221">
        <f>IFERROR(AVERAGE(Rankings!$K18:$L18, Rankings!$N18:$R18), "TBD")</f>
        <v>4.666666667</v>
      </c>
      <c r="I18" s="222" t="s">
        <v>265</v>
      </c>
      <c r="J18" s="222" t="s">
        <v>266</v>
      </c>
      <c r="K18" s="143">
        <v>5.0</v>
      </c>
      <c r="L18" s="144">
        <v>2.0</v>
      </c>
      <c r="M18" s="144">
        <v>2.0</v>
      </c>
      <c r="N18" s="144">
        <v>5.0</v>
      </c>
      <c r="O18" s="144">
        <v>6.0</v>
      </c>
      <c r="P18" s="144">
        <v>5.0</v>
      </c>
      <c r="Q18" s="122"/>
      <c r="R18" s="223">
        <v>5.0</v>
      </c>
      <c r="S18" s="147">
        <f>IF(SUM(Rankings!$K18:$R18)&gt;0, COUNTIFS(Rankings!$D$2:$D$987, Rankings!$D18, Rankings!$F$2:$F$987, "&lt;"&amp;Rankings!$F18) + COUNTIFS(Rankings!$D$2:$D$987, Rankings!$D18, Rankings!$F$2:$F$987, Rankings!$F18, Rankings!$G$2:$G$987, "&lt;"&amp;Rankings!$G18)+1, "TBD")</f>
        <v>4</v>
      </c>
      <c r="T18" s="225">
        <v>1.0</v>
      </c>
      <c r="U18" s="225" t="b">
        <f>Rankings!$S18=Rankings!$T18</f>
        <v>0</v>
      </c>
      <c r="V18" s="226"/>
      <c r="W18" s="153"/>
    </row>
    <row r="19">
      <c r="A19" s="134"/>
      <c r="B19" s="134"/>
      <c r="C19" s="134"/>
      <c r="D19" s="219">
        <f>D16</f>
        <v>45912</v>
      </c>
      <c r="E19" s="227" t="str">
        <f>$N$1</f>
        <v>Rosey</v>
      </c>
      <c r="F19" s="220">
        <f>IFERROR(AVERAGE(Rankings!$K19:$R19), "TBD")</f>
        <v>2.857142857</v>
      </c>
      <c r="G19" s="220">
        <f>IFERROR(_xlfn.STDEV.P(Rankings!$K19:$R19), "TBD")</f>
        <v>1.807015806</v>
      </c>
      <c r="H19" s="221">
        <f>IFERROR(AVERAGE(Rankings!$K19:$M19, Rankings!$O19:$R19), "TBD")</f>
        <v>3.166666667</v>
      </c>
      <c r="I19" s="222" t="s">
        <v>267</v>
      </c>
      <c r="J19" s="222" t="s">
        <v>268</v>
      </c>
      <c r="K19" s="143">
        <v>2.0</v>
      </c>
      <c r="L19" s="144">
        <v>6.0</v>
      </c>
      <c r="M19" s="144">
        <v>5.0</v>
      </c>
      <c r="N19" s="144">
        <v>1.0</v>
      </c>
      <c r="O19" s="144">
        <v>3.0</v>
      </c>
      <c r="P19" s="144">
        <v>1.0</v>
      </c>
      <c r="Q19" s="122"/>
      <c r="R19" s="223">
        <v>2.0</v>
      </c>
      <c r="S19" s="147">
        <f>IF(SUM(Rankings!$K19:$R19)&gt;0, COUNTIFS(Rankings!$D$2:$D$987, Rankings!$D19, Rankings!$F$2:$F$987, "&lt;"&amp;Rankings!$F19) + COUNTIFS(Rankings!$D$2:$D$987, Rankings!$D19, Rankings!$F$2:$F$987, Rankings!$F19, Rankings!$G$2:$G$987, "&lt;"&amp;Rankings!$G19)+1, "TBD")</f>
        <v>1</v>
      </c>
      <c r="T19" s="225">
        <v>1.0</v>
      </c>
      <c r="U19" s="225" t="b">
        <f>Rankings!$S19=Rankings!$T19</f>
        <v>1</v>
      </c>
      <c r="V19" s="226"/>
      <c r="W19" s="153"/>
    </row>
    <row r="20">
      <c r="A20" s="134"/>
      <c r="B20" s="134"/>
      <c r="C20" s="134"/>
      <c r="D20" s="219">
        <f t="shared" ref="D20:D22" si="3">D16</f>
        <v>45912</v>
      </c>
      <c r="E20" s="227" t="str">
        <f>$O$1</f>
        <v>TTAC</v>
      </c>
      <c r="F20" s="220">
        <f>IFERROR(AVERAGE(Rankings!$K20:$R20), "TBD")</f>
        <v>4.285714286</v>
      </c>
      <c r="G20" s="220">
        <f>IFERROR(_xlfn.STDEV.P(Rankings!$K20:$R20), "TBD")</f>
        <v>2.547507786</v>
      </c>
      <c r="H20" s="221">
        <f>IFERROR(AVERAGE(Rankings!$K20:$N20, Rankings!$P20:$R20), "TBD")</f>
        <v>4.833333333</v>
      </c>
      <c r="I20" s="222" t="s">
        <v>269</v>
      </c>
      <c r="J20" s="222" t="s">
        <v>270</v>
      </c>
      <c r="K20" s="143">
        <v>4.0</v>
      </c>
      <c r="L20" s="144">
        <v>3.0</v>
      </c>
      <c r="M20" s="144">
        <v>1.0</v>
      </c>
      <c r="N20" s="144">
        <v>7.0</v>
      </c>
      <c r="O20" s="144">
        <v>1.0</v>
      </c>
      <c r="P20" s="144">
        <v>7.0</v>
      </c>
      <c r="Q20" s="122"/>
      <c r="R20" s="223">
        <v>7.0</v>
      </c>
      <c r="S20" s="147">
        <f>IF(SUM(Rankings!$K20:$R20)&gt;0, COUNTIFS(Rankings!$D$2:$D$987, Rankings!$D20, Rankings!$F$2:$F$987, "&lt;"&amp;Rankings!$F20) + COUNTIFS(Rankings!$D$2:$D$987, Rankings!$D20, Rankings!$F$2:$F$987, Rankings!$F20, Rankings!$G$2:$G$987, "&lt;"&amp;Rankings!$G20)+1, "TBD")</f>
        <v>5</v>
      </c>
      <c r="T20" s="225">
        <v>1.0</v>
      </c>
      <c r="U20" s="225" t="b">
        <f>Rankings!$S20=Rankings!$T20</f>
        <v>0</v>
      </c>
      <c r="V20" s="226"/>
      <c r="W20" s="153"/>
    </row>
    <row r="21">
      <c r="A21" s="134"/>
      <c r="B21" s="134"/>
      <c r="C21" s="134"/>
      <c r="D21" s="219">
        <f t="shared" si="3"/>
        <v>45912</v>
      </c>
      <c r="E21" s="227" t="str">
        <f>$P$1</f>
        <v>Weston</v>
      </c>
      <c r="F21" s="220">
        <f>IFERROR(AVERAGE(Rankings!$K21:$R21), "TBD")</f>
        <v>4.714285714</v>
      </c>
      <c r="G21" s="220">
        <f>IFERROR(_xlfn.STDEV.P(Rankings!$K21:$R21), "TBD")</f>
        <v>2.118913853</v>
      </c>
      <c r="H21" s="221">
        <f>IFERROR(AVERAGE(Rankings!$K21:$O21, Rankings!$R21), "TBD")</f>
        <v>5.166666667</v>
      </c>
      <c r="I21" s="222" t="s">
        <v>271</v>
      </c>
      <c r="J21" s="222" t="s">
        <v>272</v>
      </c>
      <c r="K21" s="143">
        <v>7.0</v>
      </c>
      <c r="L21" s="144">
        <v>7.0</v>
      </c>
      <c r="M21" s="144">
        <v>7.0</v>
      </c>
      <c r="N21" s="144">
        <v>2.0</v>
      </c>
      <c r="O21" s="144">
        <v>4.0</v>
      </c>
      <c r="P21" s="144">
        <v>2.0</v>
      </c>
      <c r="Q21" s="122"/>
      <c r="R21" s="223">
        <v>4.0</v>
      </c>
      <c r="S21" s="147">
        <f>IF(SUM(Rankings!$K21:$R21)&gt;0, COUNTIFS(Rankings!$D$2:$D$987, Rankings!$D21, Rankings!$F$2:$F$987, "&lt;"&amp;Rankings!$F21) + COUNTIFS(Rankings!$D$2:$D$987, Rankings!$D21, Rankings!$F$2:$F$987, Rankings!$F21, Rankings!$G$2:$G$987, "&lt;"&amp;Rankings!$G21)+1, "TBD")</f>
        <v>7</v>
      </c>
      <c r="T21" s="225">
        <v>1.0</v>
      </c>
      <c r="U21" s="225" t="b">
        <f>Rankings!$S21=Rankings!$T21</f>
        <v>0</v>
      </c>
      <c r="V21" s="226"/>
      <c r="W21" s="153"/>
    </row>
    <row r="22">
      <c r="A22" s="189"/>
      <c r="B22" s="189"/>
      <c r="C22" s="189"/>
      <c r="D22" s="235">
        <f t="shared" si="3"/>
        <v>45912</v>
      </c>
      <c r="E22" s="237" t="str">
        <f>$R$1</f>
        <v>Jake</v>
      </c>
      <c r="F22" s="240">
        <f>IFERROR(AVERAGE(Rankings!$K22:$R22), "TBD")</f>
        <v>4.571428571</v>
      </c>
      <c r="G22" s="240">
        <f>IFERROR(_xlfn.STDEV.P(Rankings!$K22:$R22), "TBD")</f>
        <v>1.178030179</v>
      </c>
      <c r="H22" s="242">
        <f>IFERROR(AVERAGE(Rankings!$K22:$P22), "TBD")</f>
        <v>4.833333333</v>
      </c>
      <c r="I22" s="243" t="s">
        <v>273</v>
      </c>
      <c r="J22" s="243" t="s">
        <v>274</v>
      </c>
      <c r="K22" s="199">
        <v>3.0</v>
      </c>
      <c r="L22" s="201">
        <v>5.0</v>
      </c>
      <c r="M22" s="201">
        <v>6.0</v>
      </c>
      <c r="N22" s="201">
        <v>4.0</v>
      </c>
      <c r="O22" s="201">
        <v>5.0</v>
      </c>
      <c r="P22" s="201">
        <v>6.0</v>
      </c>
      <c r="Q22" s="122"/>
      <c r="R22" s="244">
        <v>3.0</v>
      </c>
      <c r="S22" s="203">
        <f>IF(SUM(Rankings!$K22:$R22)&gt;0, COUNTIFS(Rankings!$D$2:$D$987, Rankings!$D22, Rankings!$F$2:$F$987, "&lt;"&amp;Rankings!$F22) + COUNTIFS(Rankings!$D$2:$D$987, Rankings!$D22, Rankings!$F$2:$F$987, Rankings!$F22, Rankings!$G$2:$G$987, "&lt;"&amp;Rankings!$G22)+1, "TBD")</f>
        <v>6</v>
      </c>
      <c r="T22" s="247">
        <v>1.0</v>
      </c>
      <c r="U22" s="247" t="b">
        <f>Rankings!$S22=Rankings!$T22</f>
        <v>0</v>
      </c>
      <c r="V22" s="248"/>
      <c r="W22" s="208"/>
    </row>
    <row r="23" ht="15.75" customHeight="1">
      <c r="A23" s="103">
        <v>45915.0</v>
      </c>
      <c r="B23" s="104"/>
      <c r="C23" s="104" t="str">
        <f t="array" ref="C23">INDEX(Rankings!$E23:$E29, MATCH(1, (Rankings!$D23:$D29=$A23)*(Rankings!$U23:$U29=TRUE()), 0))</f>
        <v>Rosey</v>
      </c>
      <c r="D23" s="111">
        <f>A23</f>
        <v>45915</v>
      </c>
      <c r="E23" s="113" t="str">
        <f>$K$1</f>
        <v>Logan</v>
      </c>
      <c r="F23" s="115">
        <f>IFERROR(AVERAGE(Rankings!$K23:$R23), "TBD")</f>
        <v>3.571428571</v>
      </c>
      <c r="G23" s="115">
        <f>IFERROR(_xlfn.STDEV.P(Rankings!$K23:$R23), "TBD")</f>
        <v>1.498298355</v>
      </c>
      <c r="H23" s="117">
        <f>IFERROR(AVERAGE(Rankings!$L23:$R23), "TBD")</f>
        <v>4</v>
      </c>
      <c r="I23" s="119" t="s">
        <v>276</v>
      </c>
      <c r="J23" s="119" t="s">
        <v>277</v>
      </c>
      <c r="K23" s="120">
        <v>1.0</v>
      </c>
      <c r="L23" s="121">
        <v>3.0</v>
      </c>
      <c r="M23" s="121">
        <v>5.0</v>
      </c>
      <c r="N23" s="121">
        <v>6.0</v>
      </c>
      <c r="O23" s="121">
        <v>3.0</v>
      </c>
      <c r="P23" s="121">
        <v>3.0</v>
      </c>
      <c r="Q23" s="122"/>
      <c r="R23" s="216">
        <v>4.0</v>
      </c>
      <c r="S23" s="126">
        <f>IF(SUM(Rankings!$K23:$R23)&gt;0, COUNTIFS(Rankings!$D$2:$D$987, Rankings!$D23, Rankings!$F$2:$F$987, "&lt;"&amp;Rankings!$F23) + COUNTIFS(Rankings!$D$2:$D$987, Rankings!$D23, Rankings!$F$2:$F$987, Rankings!$F23, Rankings!$G$2:$G$987, "&lt;"&amp;Rankings!$G23)+1, "TBD")</f>
        <v>2</v>
      </c>
      <c r="T23" s="217">
        <v>1.0</v>
      </c>
      <c r="U23" s="217" t="b">
        <f>Rankings!$S23=Rankings!$T23</f>
        <v>0</v>
      </c>
      <c r="V23" s="133"/>
      <c r="W23" s="133"/>
    </row>
    <row r="24" ht="15.75" customHeight="1">
      <c r="A24" s="134"/>
      <c r="B24" s="134"/>
      <c r="C24" s="134"/>
      <c r="D24" s="219">
        <f>D23</f>
        <v>45915</v>
      </c>
      <c r="E24" s="138" t="str">
        <f>$L$1</f>
        <v>Parker</v>
      </c>
      <c r="F24" s="220">
        <f>IFERROR(AVERAGE(Rankings!$K24:$R24), "TBD")</f>
        <v>3.714285714</v>
      </c>
      <c r="G24" s="220">
        <f>IFERROR(_xlfn.STDEV.P(Rankings!$K24:$R24), "TBD")</f>
        <v>1.749635531</v>
      </c>
      <c r="H24" s="221">
        <f>IFERROR(AVERAGE(Rankings!$K24, Rankings!$M24:$R24), "TBD")</f>
        <v>4</v>
      </c>
      <c r="I24" s="222" t="s">
        <v>278</v>
      </c>
      <c r="J24" s="222" t="s">
        <v>279</v>
      </c>
      <c r="K24" s="143">
        <v>2.0</v>
      </c>
      <c r="L24" s="144">
        <v>2.0</v>
      </c>
      <c r="M24" s="144">
        <v>3.0</v>
      </c>
      <c r="N24" s="144">
        <v>2.0</v>
      </c>
      <c r="O24" s="144">
        <v>6.0</v>
      </c>
      <c r="P24" s="144">
        <v>6.0</v>
      </c>
      <c r="Q24" s="122"/>
      <c r="R24" s="223">
        <v>5.0</v>
      </c>
      <c r="S24" s="147">
        <f>IF(SUM(Rankings!$K24:$R24)&gt;0, COUNTIFS(Rankings!$D$2:$D$987, Rankings!$D24, Rankings!$F$2:$F$987, "&lt;"&amp;Rankings!$F24) + COUNTIFS(Rankings!$D$2:$D$987, Rankings!$D24, Rankings!$F$2:$F$987, Rankings!$F24, Rankings!$G$2:$G$987, "&lt;"&amp;Rankings!$G24)+1, "TBD")</f>
        <v>3</v>
      </c>
      <c r="T24" s="225">
        <v>1.0</v>
      </c>
      <c r="U24" s="225" t="b">
        <f>Rankings!$S24=Rankings!$T24</f>
        <v>0</v>
      </c>
      <c r="V24" s="226"/>
      <c r="W24" s="153"/>
    </row>
    <row r="25" ht="15.75" customHeight="1">
      <c r="A25" s="134"/>
      <c r="B25" s="134"/>
      <c r="C25" s="134"/>
      <c r="D25" s="219">
        <f>D23</f>
        <v>45915</v>
      </c>
      <c r="E25" s="227" t="str">
        <f>$M$1</f>
        <v>Giacomo</v>
      </c>
      <c r="F25" s="220">
        <f>IFERROR(AVERAGE(Rankings!$K25:$R25), "TBD")</f>
        <v>3.857142857</v>
      </c>
      <c r="G25" s="220">
        <f>IFERROR(_xlfn.STDEV.P(Rankings!$K25:$R25), "TBD")</f>
        <v>1.551825784</v>
      </c>
      <c r="H25" s="221">
        <f>IFERROR(AVERAGE(Rankings!$K25:$L25, Rankings!$N25:$R25), "TBD")</f>
        <v>4.166666667</v>
      </c>
      <c r="I25" s="222" t="s">
        <v>280</v>
      </c>
      <c r="J25" s="222" t="s">
        <v>281</v>
      </c>
      <c r="K25" s="143">
        <v>3.0</v>
      </c>
      <c r="L25" s="144">
        <v>4.0</v>
      </c>
      <c r="M25" s="144">
        <v>2.0</v>
      </c>
      <c r="N25" s="144">
        <v>3.0</v>
      </c>
      <c r="O25" s="144">
        <v>7.0</v>
      </c>
      <c r="P25" s="144">
        <v>5.0</v>
      </c>
      <c r="Q25" s="122"/>
      <c r="R25" s="223">
        <v>3.0</v>
      </c>
      <c r="S25" s="147">
        <f>IF(SUM(Rankings!$K25:$R25)&gt;0, COUNTIFS(Rankings!$D$2:$D$987, Rankings!$D25, Rankings!$F$2:$F$987, "&lt;"&amp;Rankings!$F25) + COUNTIFS(Rankings!$D$2:$D$987, Rankings!$D25, Rankings!$F$2:$F$987, Rankings!$F25, Rankings!$G$2:$G$987, "&lt;"&amp;Rankings!$G25)+1, "TBD")</f>
        <v>4</v>
      </c>
      <c r="T25" s="225">
        <v>1.0</v>
      </c>
      <c r="U25" s="225" t="b">
        <f>Rankings!$S25=Rankings!$T25</f>
        <v>0</v>
      </c>
      <c r="V25" s="226"/>
      <c r="W25" s="153"/>
    </row>
    <row r="26" ht="15.75" customHeight="1">
      <c r="A26" s="134"/>
      <c r="B26" s="134"/>
      <c r="C26" s="134"/>
      <c r="D26" s="219">
        <f>D23</f>
        <v>45915</v>
      </c>
      <c r="E26" s="227" t="str">
        <f>$N$1</f>
        <v>Rosey</v>
      </c>
      <c r="F26" s="220">
        <f>IFERROR(AVERAGE(Rankings!$K26:$R26), "TBD")</f>
        <v>2.428571429</v>
      </c>
      <c r="G26" s="220">
        <f>IFERROR(_xlfn.STDEV.P(Rankings!$K26:$R26), "TBD")</f>
        <v>2.128523489</v>
      </c>
      <c r="H26" s="221">
        <f>IFERROR(AVERAGE(Rankings!$K26:$M26, Rankings!$O26:$R26), "TBD")</f>
        <v>2.666666667</v>
      </c>
      <c r="I26" s="222" t="s">
        <v>282</v>
      </c>
      <c r="J26" s="222" t="s">
        <v>283</v>
      </c>
      <c r="K26" s="143">
        <v>4.0</v>
      </c>
      <c r="L26" s="144">
        <v>1.0</v>
      </c>
      <c r="M26" s="144">
        <v>7.0</v>
      </c>
      <c r="N26" s="144">
        <v>1.0</v>
      </c>
      <c r="O26" s="144">
        <v>2.0</v>
      </c>
      <c r="P26" s="144">
        <v>1.0</v>
      </c>
      <c r="Q26" s="122"/>
      <c r="R26" s="223">
        <v>1.0</v>
      </c>
      <c r="S26" s="147">
        <f>IF(SUM(Rankings!$K26:$R26)&gt;0, COUNTIFS(Rankings!$D$2:$D$987, Rankings!$D26, Rankings!$F$2:$F$987, "&lt;"&amp;Rankings!$F26) + COUNTIFS(Rankings!$D$2:$D$987, Rankings!$D26, Rankings!$F$2:$F$987, Rankings!$F26, Rankings!$G$2:$G$987, "&lt;"&amp;Rankings!$G26)+1, "TBD")</f>
        <v>1</v>
      </c>
      <c r="T26" s="225">
        <v>1.0</v>
      </c>
      <c r="U26" s="225" t="b">
        <f>Rankings!$S26=Rankings!$T26</f>
        <v>1</v>
      </c>
      <c r="V26" s="226"/>
      <c r="W26" s="153"/>
    </row>
    <row r="27" ht="15.75" customHeight="1">
      <c r="A27" s="134"/>
      <c r="B27" s="134"/>
      <c r="C27" s="134"/>
      <c r="D27" s="219">
        <f t="shared" ref="D27:D29" si="4">D23</f>
        <v>45915</v>
      </c>
      <c r="E27" s="227" t="str">
        <f>$O$1</f>
        <v>TTAC</v>
      </c>
      <c r="F27" s="220">
        <f>IFERROR(AVERAGE(Rankings!$K27:$R27), "TBD")</f>
        <v>5.428571429</v>
      </c>
      <c r="G27" s="220">
        <f>IFERROR(_xlfn.STDEV.P(Rankings!$K27:$R27), "TBD")</f>
        <v>2.060315015</v>
      </c>
      <c r="H27" s="221">
        <f>IFERROR(AVERAGE(Rankings!$K27:$N27, Rankings!$P27:$R27), "TBD")</f>
        <v>6.166666667</v>
      </c>
      <c r="I27" s="222" t="s">
        <v>284</v>
      </c>
      <c r="J27" s="222" t="s">
        <v>285</v>
      </c>
      <c r="K27" s="143">
        <v>6.0</v>
      </c>
      <c r="L27" s="144">
        <v>7.0</v>
      </c>
      <c r="M27" s="144">
        <v>6.0</v>
      </c>
      <c r="N27" s="144">
        <v>4.0</v>
      </c>
      <c r="O27" s="144">
        <v>1.0</v>
      </c>
      <c r="P27" s="144">
        <v>7.0</v>
      </c>
      <c r="Q27" s="122"/>
      <c r="R27" s="223">
        <v>7.0</v>
      </c>
      <c r="S27" s="147">
        <f>IF(SUM(Rankings!$K27:$R27)&gt;0, COUNTIFS(Rankings!$D$2:$D$987, Rankings!$D27, Rankings!$F$2:$F$987, "&lt;"&amp;Rankings!$F27) + COUNTIFS(Rankings!$D$2:$D$987, Rankings!$D27, Rankings!$F$2:$F$987, Rankings!$F27, Rankings!$G$2:$G$987, "&lt;"&amp;Rankings!$G27)+1, "TBD")</f>
        <v>7</v>
      </c>
      <c r="T27" s="225">
        <v>1.0</v>
      </c>
      <c r="U27" s="225" t="b">
        <f>Rankings!$S27=Rankings!$T27</f>
        <v>0</v>
      </c>
      <c r="V27" s="226"/>
      <c r="W27" s="153"/>
    </row>
    <row r="28" ht="15.75" customHeight="1">
      <c r="A28" s="134"/>
      <c r="B28" s="134"/>
      <c r="C28" s="134"/>
      <c r="D28" s="219">
        <f t="shared" si="4"/>
        <v>45915</v>
      </c>
      <c r="E28" s="227" t="str">
        <f>$P$1</f>
        <v>Weston</v>
      </c>
      <c r="F28" s="220">
        <f>IFERROR(AVERAGE(Rankings!$K28:$R28), "TBD")</f>
        <v>4.714285714</v>
      </c>
      <c r="G28" s="220">
        <f>IFERROR(_xlfn.STDEV.P(Rankings!$K28:$R28), "TBD")</f>
        <v>2.249716535</v>
      </c>
      <c r="H28" s="221">
        <f>IFERROR(AVERAGE(Rankings!$K28:$O28, Rankings!$R28), "TBD")</f>
        <v>5.166666667</v>
      </c>
      <c r="I28" s="222" t="s">
        <v>286</v>
      </c>
      <c r="J28" s="222" t="s">
        <v>287</v>
      </c>
      <c r="K28" s="143">
        <v>7.0</v>
      </c>
      <c r="L28" s="144">
        <v>6.0</v>
      </c>
      <c r="M28" s="144">
        <v>1.0</v>
      </c>
      <c r="N28" s="144">
        <v>7.0</v>
      </c>
      <c r="O28" s="144">
        <v>4.0</v>
      </c>
      <c r="P28" s="144">
        <v>2.0</v>
      </c>
      <c r="Q28" s="122"/>
      <c r="R28" s="223">
        <v>6.0</v>
      </c>
      <c r="S28" s="147">
        <f>IF(SUM(Rankings!$K28:$R28)&gt;0, COUNTIFS(Rankings!$D$2:$D$987, Rankings!$D28, Rankings!$F$2:$F$987, "&lt;"&amp;Rankings!$F28) + COUNTIFS(Rankings!$D$2:$D$987, Rankings!$D28, Rankings!$F$2:$F$987, Rankings!$F28, Rankings!$G$2:$G$987, "&lt;"&amp;Rankings!$G28)+1, "TBD")</f>
        <v>6</v>
      </c>
      <c r="T28" s="225">
        <v>1.0</v>
      </c>
      <c r="U28" s="225" t="b">
        <f>Rankings!$S28=Rankings!$T28</f>
        <v>0</v>
      </c>
      <c r="V28" s="226"/>
      <c r="W28" s="153"/>
    </row>
    <row r="29" ht="15.75" customHeight="1">
      <c r="A29" s="189"/>
      <c r="B29" s="189"/>
      <c r="C29" s="189"/>
      <c r="D29" s="235">
        <f t="shared" si="4"/>
        <v>45915</v>
      </c>
      <c r="E29" s="237" t="str">
        <f>$R$1</f>
        <v>Jake</v>
      </c>
      <c r="F29" s="240">
        <f>IFERROR(AVERAGE(Rankings!$K29:$R29), "TBD")</f>
        <v>4.285714286</v>
      </c>
      <c r="G29" s="240">
        <f>IFERROR(_xlfn.STDEV.P(Rankings!$K29:$R29), "TBD")</f>
        <v>1.030157507</v>
      </c>
      <c r="H29" s="242">
        <f>IFERROR(AVERAGE(Rankings!$K29:$P29), "TBD")</f>
        <v>4.666666667</v>
      </c>
      <c r="I29" s="243" t="s">
        <v>288</v>
      </c>
      <c r="J29" s="243" t="s">
        <v>289</v>
      </c>
      <c r="K29" s="199">
        <v>5.0</v>
      </c>
      <c r="L29" s="201">
        <v>5.0</v>
      </c>
      <c r="M29" s="201">
        <v>4.0</v>
      </c>
      <c r="N29" s="201">
        <v>5.0</v>
      </c>
      <c r="O29" s="201">
        <v>5.0</v>
      </c>
      <c r="P29" s="201">
        <v>4.0</v>
      </c>
      <c r="Q29" s="122"/>
      <c r="R29" s="244">
        <v>2.0</v>
      </c>
      <c r="S29" s="203">
        <f>IF(SUM(Rankings!$K29:$R29)&gt;0, COUNTIFS(Rankings!$D$2:$D$987, Rankings!$D29, Rankings!$F$2:$F$987, "&lt;"&amp;Rankings!$F29) + COUNTIFS(Rankings!$D$2:$D$987, Rankings!$D29, Rankings!$F$2:$F$987, Rankings!$F29, Rankings!$G$2:$G$987, "&lt;"&amp;Rankings!$G29)+1, "TBD")</f>
        <v>5</v>
      </c>
      <c r="T29" s="247">
        <v>1.0</v>
      </c>
      <c r="U29" s="247" t="b">
        <f>Rankings!$S29=Rankings!$T29</f>
        <v>0</v>
      </c>
      <c r="V29" s="248"/>
      <c r="W29" s="208"/>
    </row>
    <row r="30" ht="15.75" customHeight="1">
      <c r="A30" s="103">
        <v>45917.0</v>
      </c>
      <c r="B30" s="104"/>
      <c r="C30" s="104" t="str">
        <f t="array" ref="C30">INDEX(Rankings!$E30:$E36, MATCH(1, (Rankings!$D30:$D36=$A30)*(Rankings!$U30:$U36=TRUE()), 0))</f>
        <v>Parker</v>
      </c>
      <c r="D30" s="111">
        <f>A30</f>
        <v>45917</v>
      </c>
      <c r="E30" s="113" t="str">
        <f>$K$1</f>
        <v>Logan</v>
      </c>
      <c r="F30" s="115">
        <f>IFERROR(AVERAGE(Rankings!$K30:$R30), "TBD")</f>
        <v>3.714285714</v>
      </c>
      <c r="G30" s="115">
        <f>IFERROR(_xlfn.STDEV.P(Rankings!$K30:$R30), "TBD")</f>
        <v>1.905952009</v>
      </c>
      <c r="H30" s="117">
        <f>IFERROR(AVERAGE(Rankings!$L30:$R30), "TBD")</f>
        <v>4</v>
      </c>
      <c r="I30" s="119" t="s">
        <v>295</v>
      </c>
      <c r="J30" s="119" t="s">
        <v>296</v>
      </c>
      <c r="K30" s="120">
        <v>2.0</v>
      </c>
      <c r="L30" s="121">
        <v>5.0</v>
      </c>
      <c r="M30" s="121">
        <v>4.0</v>
      </c>
      <c r="N30" s="121">
        <v>6.0</v>
      </c>
      <c r="O30" s="121">
        <v>6.0</v>
      </c>
      <c r="P30" s="121">
        <v>1.0</v>
      </c>
      <c r="Q30" s="122"/>
      <c r="R30" s="216">
        <v>2.0</v>
      </c>
      <c r="S30" s="126">
        <f>IF(SUM(Rankings!$K30:$R30)&gt;0, COUNTIFS(Rankings!$D$2:$D$987, Rankings!$D30, Rankings!$F$2:$F$987, "&lt;"&amp;Rankings!$F30) + COUNTIFS(Rankings!$D$2:$D$987, Rankings!$D30, Rankings!$F$2:$F$987, Rankings!$F30, Rankings!$G$2:$G$987, "&lt;"&amp;Rankings!$G30)+1, "TBD")</f>
        <v>4</v>
      </c>
      <c r="T30" s="217">
        <v>1.0</v>
      </c>
      <c r="U30" s="217" t="b">
        <f>Rankings!$S30=Rankings!$T30</f>
        <v>0</v>
      </c>
      <c r="V30" s="133"/>
      <c r="W30" s="133"/>
    </row>
    <row r="31" ht="15.75" customHeight="1">
      <c r="A31" s="134"/>
      <c r="B31" s="134"/>
      <c r="C31" s="134"/>
      <c r="D31" s="219">
        <f>D30</f>
        <v>45917</v>
      </c>
      <c r="E31" s="138" t="str">
        <f>$L$1</f>
        <v>Parker</v>
      </c>
      <c r="F31" s="220">
        <f>IFERROR(AVERAGE(Rankings!$K31:$R31), "TBD")</f>
        <v>2.857142857</v>
      </c>
      <c r="G31" s="220">
        <f>IFERROR(_xlfn.STDEV.P(Rankings!$K31:$R31), "TBD")</f>
        <v>1.641303613</v>
      </c>
      <c r="H31" s="221">
        <f>IFERROR(AVERAGE(Rankings!$K31, Rankings!$M31:$R31), "TBD")</f>
        <v>3</v>
      </c>
      <c r="I31" s="222" t="s">
        <v>297</v>
      </c>
      <c r="J31" s="222" t="s">
        <v>298</v>
      </c>
      <c r="K31" s="143">
        <v>4.0</v>
      </c>
      <c r="L31" s="144">
        <v>2.0</v>
      </c>
      <c r="M31" s="144">
        <v>1.0</v>
      </c>
      <c r="N31" s="144">
        <v>1.0</v>
      </c>
      <c r="O31" s="144">
        <v>3.0</v>
      </c>
      <c r="P31" s="144">
        <v>3.0</v>
      </c>
      <c r="Q31" s="122"/>
      <c r="R31" s="223">
        <v>6.0</v>
      </c>
      <c r="S31" s="147">
        <f>IF(SUM(Rankings!$K31:$R31)&gt;0, COUNTIFS(Rankings!$D$2:$D$987, Rankings!$D31, Rankings!$F$2:$F$987, "&lt;"&amp;Rankings!$F31) + COUNTIFS(Rankings!$D$2:$D$987, Rankings!$D31, Rankings!$F$2:$F$987, Rankings!$F31, Rankings!$G$2:$G$987, "&lt;"&amp;Rankings!$G31)+1, "TBD")</f>
        <v>1</v>
      </c>
      <c r="T31" s="225">
        <v>1.0</v>
      </c>
      <c r="U31" s="225" t="b">
        <f>Rankings!$S31=Rankings!$T31</f>
        <v>1</v>
      </c>
      <c r="V31" s="226"/>
      <c r="W31" s="153"/>
    </row>
    <row r="32" ht="15.75" customHeight="1">
      <c r="A32" s="134"/>
      <c r="B32" s="134"/>
      <c r="C32" s="134"/>
      <c r="D32" s="219">
        <f>D30</f>
        <v>45917</v>
      </c>
      <c r="E32" s="227" t="str">
        <f>$M$1</f>
        <v>Giacomo</v>
      </c>
      <c r="F32" s="220">
        <f>IFERROR(AVERAGE(Rankings!$K32:$R32), "TBD")</f>
        <v>4</v>
      </c>
      <c r="G32" s="220">
        <f>IFERROR(_xlfn.STDEV.P(Rankings!$K32:$R32), "TBD")</f>
        <v>1.772810521</v>
      </c>
      <c r="H32" s="221">
        <f>IFERROR(AVERAGE(Rankings!$K32:$L32, Rankings!$N32:$R32), "TBD")</f>
        <v>4.166666667</v>
      </c>
      <c r="I32" s="222" t="s">
        <v>299</v>
      </c>
      <c r="J32" s="222" t="s">
        <v>300</v>
      </c>
      <c r="K32" s="143">
        <v>6.0</v>
      </c>
      <c r="L32" s="144">
        <v>4.0</v>
      </c>
      <c r="M32" s="144">
        <v>3.0</v>
      </c>
      <c r="N32" s="144">
        <v>2.0</v>
      </c>
      <c r="O32" s="144">
        <v>2.0</v>
      </c>
      <c r="P32" s="144">
        <v>7.0</v>
      </c>
      <c r="Q32" s="122"/>
      <c r="R32" s="223">
        <v>4.0</v>
      </c>
      <c r="S32" s="147">
        <f>IF(SUM(Rankings!$K32:$R32)&gt;0, COUNTIFS(Rankings!$D$2:$D$987, Rankings!$D32, Rankings!$F$2:$F$987, "&lt;"&amp;Rankings!$F32) + COUNTIFS(Rankings!$D$2:$D$987, Rankings!$D32, Rankings!$F$2:$F$987, Rankings!$F32, Rankings!$G$2:$G$987, "&lt;"&amp;Rankings!$G32)+1, "TBD")</f>
        <v>5</v>
      </c>
      <c r="T32" s="225">
        <v>1.0</v>
      </c>
      <c r="U32" s="225" t="b">
        <f>Rankings!$S32=Rankings!$T32</f>
        <v>0</v>
      </c>
      <c r="V32" s="226"/>
      <c r="W32" s="153"/>
    </row>
    <row r="33" ht="15.75" customHeight="1">
      <c r="A33" s="134"/>
      <c r="B33" s="134"/>
      <c r="C33" s="134"/>
      <c r="D33" s="219">
        <f>D30</f>
        <v>45917</v>
      </c>
      <c r="E33" s="227" t="str">
        <f>$N$1</f>
        <v>Rosey</v>
      </c>
      <c r="F33" s="220">
        <f>IFERROR(AVERAGE(Rankings!$K33:$R33), "TBD")</f>
        <v>5</v>
      </c>
      <c r="G33" s="220">
        <f>IFERROR(_xlfn.STDEV.P(Rankings!$K33:$R33), "TBD")</f>
        <v>2.138089935</v>
      </c>
      <c r="H33" s="221">
        <f>IFERROR(AVERAGE(Rankings!$K33:$M33, Rankings!$O33:$R33), "TBD")</f>
        <v>5.333333333</v>
      </c>
      <c r="I33" s="222" t="s">
        <v>301</v>
      </c>
      <c r="J33" s="222" t="s">
        <v>302</v>
      </c>
      <c r="K33" s="143">
        <v>1.0</v>
      </c>
      <c r="L33" s="144">
        <v>7.0</v>
      </c>
      <c r="M33" s="144">
        <v>7.0</v>
      </c>
      <c r="N33" s="144">
        <v>3.0</v>
      </c>
      <c r="O33" s="144">
        <v>5.0</v>
      </c>
      <c r="P33" s="144">
        <v>5.0</v>
      </c>
      <c r="Q33" s="122"/>
      <c r="R33" s="223">
        <v>7.0</v>
      </c>
      <c r="S33" s="147">
        <f>IF(SUM(Rankings!$K33:$R33)&gt;0, COUNTIFS(Rankings!$D$2:$D$987, Rankings!$D33, Rankings!$F$2:$F$987, "&lt;"&amp;Rankings!$F33) + COUNTIFS(Rankings!$D$2:$D$987, Rankings!$D33, Rankings!$F$2:$F$987, Rankings!$F33, Rankings!$G$2:$G$987, "&lt;"&amp;Rankings!$G33)+1, "TBD")</f>
        <v>6</v>
      </c>
      <c r="T33" s="225">
        <v>1.0</v>
      </c>
      <c r="U33" s="225" t="b">
        <f>Rankings!$S33=Rankings!$T33</f>
        <v>0</v>
      </c>
      <c r="V33" s="226"/>
      <c r="W33" s="153"/>
    </row>
    <row r="34" ht="15.75" customHeight="1">
      <c r="A34" s="134"/>
      <c r="B34" s="134"/>
      <c r="C34" s="134"/>
      <c r="D34" s="219">
        <f t="shared" ref="D34:D36" si="5">D30</f>
        <v>45917</v>
      </c>
      <c r="E34" s="227" t="str">
        <f>$O$1</f>
        <v>TTAC</v>
      </c>
      <c r="F34" s="220">
        <f>IFERROR(AVERAGE(Rankings!$K34:$R34), "TBD")</f>
        <v>3.285714286</v>
      </c>
      <c r="G34" s="220">
        <f>IFERROR(_xlfn.STDEV.P(Rankings!$K34:$R34), "TBD")</f>
        <v>1.577908717</v>
      </c>
      <c r="H34" s="221">
        <f>IFERROR(AVERAGE(Rankings!$K34:$N34, Rankings!$P34:$R34), "TBD")</f>
        <v>3.666666667</v>
      </c>
      <c r="I34" s="222" t="s">
        <v>303</v>
      </c>
      <c r="J34" s="222" t="s">
        <v>304</v>
      </c>
      <c r="K34" s="143">
        <v>5.0</v>
      </c>
      <c r="L34" s="144">
        <v>3.0</v>
      </c>
      <c r="M34" s="144">
        <v>5.0</v>
      </c>
      <c r="N34" s="144">
        <v>4.0</v>
      </c>
      <c r="O34" s="144">
        <v>1.0</v>
      </c>
      <c r="P34" s="144">
        <v>4.0</v>
      </c>
      <c r="Q34" s="122"/>
      <c r="R34" s="223">
        <v>1.0</v>
      </c>
      <c r="S34" s="147">
        <f>IF(SUM(Rankings!$K34:$R34)&gt;0, COUNTIFS(Rankings!$D$2:$D$987, Rankings!$D34, Rankings!$F$2:$F$987, "&lt;"&amp;Rankings!$F34) + COUNTIFS(Rankings!$D$2:$D$987, Rankings!$D34, Rankings!$F$2:$F$987, Rankings!$F34, Rankings!$G$2:$G$987, "&lt;"&amp;Rankings!$G34)+1, "TBD")</f>
        <v>2</v>
      </c>
      <c r="T34" s="225">
        <v>1.0</v>
      </c>
      <c r="U34" s="225" t="b">
        <f>Rankings!$S34=Rankings!$T34</f>
        <v>0</v>
      </c>
      <c r="V34" s="226"/>
      <c r="W34" s="153"/>
    </row>
    <row r="35" ht="15.75" customHeight="1">
      <c r="A35" s="134"/>
      <c r="B35" s="134"/>
      <c r="C35" s="134"/>
      <c r="D35" s="219">
        <f t="shared" si="5"/>
        <v>45917</v>
      </c>
      <c r="E35" s="227" t="str">
        <f>$P$1</f>
        <v>Weston</v>
      </c>
      <c r="F35" s="220">
        <f>IFERROR(AVERAGE(Rankings!$K35:$R35), "TBD")</f>
        <v>3.285714286</v>
      </c>
      <c r="G35" s="220">
        <f>IFERROR(_xlfn.STDEV.P(Rankings!$K35:$R35), "TBD")</f>
        <v>1.905952009</v>
      </c>
      <c r="H35" s="221">
        <f>IFERROR(AVERAGE(Rankings!$K35:$O35, Rankings!$R35), "TBD")</f>
        <v>3.5</v>
      </c>
      <c r="I35" s="222" t="s">
        <v>305</v>
      </c>
      <c r="J35" s="222" t="s">
        <v>306</v>
      </c>
      <c r="K35" s="143">
        <v>3.0</v>
      </c>
      <c r="L35" s="144">
        <v>1.0</v>
      </c>
      <c r="M35" s="144">
        <v>2.0</v>
      </c>
      <c r="N35" s="144">
        <v>5.0</v>
      </c>
      <c r="O35" s="144">
        <v>7.0</v>
      </c>
      <c r="P35" s="144">
        <v>2.0</v>
      </c>
      <c r="Q35" s="122"/>
      <c r="R35" s="223">
        <v>3.0</v>
      </c>
      <c r="S35" s="147">
        <f>IF(SUM(Rankings!$K35:$R35)&gt;0, COUNTIFS(Rankings!$D$2:$D$987, Rankings!$D35, Rankings!$F$2:$F$987, "&lt;"&amp;Rankings!$F35) + COUNTIFS(Rankings!$D$2:$D$987, Rankings!$D35, Rankings!$F$2:$F$987, Rankings!$F35, Rankings!$G$2:$G$987, "&lt;"&amp;Rankings!$G35)+1, "TBD")</f>
        <v>3</v>
      </c>
      <c r="T35" s="225">
        <v>1.0</v>
      </c>
      <c r="U35" s="225" t="b">
        <f>Rankings!$S35=Rankings!$T35</f>
        <v>0</v>
      </c>
      <c r="V35" s="226"/>
      <c r="W35" s="153"/>
    </row>
    <row r="36" ht="15.75" customHeight="1">
      <c r="A36" s="189"/>
      <c r="B36" s="189"/>
      <c r="C36" s="189"/>
      <c r="D36" s="235">
        <f t="shared" si="5"/>
        <v>45917</v>
      </c>
      <c r="E36" s="237" t="str">
        <f>$R$1</f>
        <v>Jake</v>
      </c>
      <c r="F36" s="240">
        <f>IFERROR(AVERAGE(Rankings!$K36:$R36), "TBD")</f>
        <v>5.857142857</v>
      </c>
      <c r="G36" s="240">
        <f>IFERROR(_xlfn.STDEV.P(Rankings!$K36:$R36), "TBD")</f>
        <v>0.9897433186</v>
      </c>
      <c r="H36" s="242">
        <f>IFERROR(AVERAGE(Rankings!$K36:$P36), "TBD")</f>
        <v>6</v>
      </c>
      <c r="I36" s="243" t="s">
        <v>307</v>
      </c>
      <c r="J36" s="243" t="s">
        <v>308</v>
      </c>
      <c r="K36" s="199">
        <v>7.0</v>
      </c>
      <c r="L36" s="201">
        <v>6.0</v>
      </c>
      <c r="M36" s="201">
        <v>6.0</v>
      </c>
      <c r="N36" s="201">
        <v>7.0</v>
      </c>
      <c r="O36" s="201">
        <v>4.0</v>
      </c>
      <c r="P36" s="201">
        <v>6.0</v>
      </c>
      <c r="Q36" s="122"/>
      <c r="R36" s="244">
        <v>5.0</v>
      </c>
      <c r="S36" s="203">
        <f>IF(SUM(Rankings!$K36:$R36)&gt;0, COUNTIFS(Rankings!$D$2:$D$987, Rankings!$D36, Rankings!$F$2:$F$987, "&lt;"&amp;Rankings!$F36) + COUNTIFS(Rankings!$D$2:$D$987, Rankings!$D36, Rankings!$F$2:$F$987, Rankings!$F36, Rankings!$G$2:$G$987, "&lt;"&amp;Rankings!$G36)+1, "TBD")</f>
        <v>7</v>
      </c>
      <c r="T36" s="247">
        <v>1.0</v>
      </c>
      <c r="U36" s="247" t="b">
        <f>Rankings!$S36=Rankings!$T36</f>
        <v>0</v>
      </c>
      <c r="V36" s="248"/>
      <c r="W36" s="208"/>
    </row>
    <row r="37" ht="15.75" customHeight="1">
      <c r="A37" s="103">
        <v>45919.0</v>
      </c>
      <c r="B37" s="104"/>
      <c r="C37" s="104" t="str">
        <f t="array" ref="C37">INDEX(Rankings!$E37:$E43, MATCH(1, (Rankings!$D37:$D43=$A37)*(Rankings!$U37:$U43=TRUE()), 0))</f>
        <v>Rosey</v>
      </c>
      <c r="D37" s="111">
        <f>A37</f>
        <v>45919</v>
      </c>
      <c r="E37" s="113" t="str">
        <f>$K$1</f>
        <v>Logan</v>
      </c>
      <c r="F37" s="115">
        <f>IFERROR(AVERAGE(Rankings!$K37:$R37), "TBD")</f>
        <v>5.142857143</v>
      </c>
      <c r="G37" s="115">
        <f>IFERROR(_xlfn.STDEV.P(Rankings!$K37:$R37), "TBD")</f>
        <v>1.807015806</v>
      </c>
      <c r="H37" s="117">
        <f>IFERROR(AVERAGE(Rankings!$L37:$R37), "TBD")</f>
        <v>5.666666667</v>
      </c>
      <c r="I37" s="119" t="s">
        <v>309</v>
      </c>
      <c r="J37" s="119" t="s">
        <v>310</v>
      </c>
      <c r="K37" s="120">
        <v>2.0</v>
      </c>
      <c r="L37" s="121">
        <v>4.0</v>
      </c>
      <c r="M37" s="121">
        <v>4.0</v>
      </c>
      <c r="N37" s="121">
        <v>5.0</v>
      </c>
      <c r="O37" s="121">
        <v>7.0</v>
      </c>
      <c r="P37" s="121">
        <v>7.0</v>
      </c>
      <c r="Q37" s="122"/>
      <c r="R37" s="216">
        <v>7.0</v>
      </c>
      <c r="S37" s="126">
        <f>IF(SUM(Rankings!$K37:$R37)&gt;0, COUNTIFS(Rankings!$D$2:$D$987, Rankings!$D37, Rankings!$F$2:$F$987, "&lt;"&amp;Rankings!$F37) + COUNTIFS(Rankings!$D$2:$D$987, Rankings!$D37, Rankings!$F$2:$F$987, Rankings!$F37, Rankings!$G$2:$G$987, "&lt;"&amp;Rankings!$G37)+1, "TBD")</f>
        <v>7</v>
      </c>
      <c r="T37" s="217">
        <v>1.0</v>
      </c>
      <c r="U37" s="217" t="b">
        <f>Rankings!$S37=Rankings!$T37</f>
        <v>0</v>
      </c>
      <c r="V37" s="259"/>
      <c r="W37" s="259" t="s">
        <v>311</v>
      </c>
    </row>
    <row r="38" ht="15.75" customHeight="1">
      <c r="A38" s="134"/>
      <c r="B38" s="134"/>
      <c r="C38" s="134"/>
      <c r="D38" s="219">
        <f>D37</f>
        <v>45919</v>
      </c>
      <c r="E38" s="138" t="str">
        <f>$L$1</f>
        <v>Parker</v>
      </c>
      <c r="F38" s="220">
        <f>IFERROR(AVERAGE(Rankings!$K38:$R38), "TBD")</f>
        <v>3.571428571</v>
      </c>
      <c r="G38" s="220">
        <f>IFERROR(_xlfn.STDEV.P(Rankings!$K38:$R38), "TBD")</f>
        <v>1.293626448</v>
      </c>
      <c r="H38" s="221">
        <f>IFERROR(AVERAGE(Rankings!$K38, Rankings!$M38:$R38), "TBD")</f>
        <v>3.833333333</v>
      </c>
      <c r="I38" s="222" t="s">
        <v>312</v>
      </c>
      <c r="J38" s="222" t="s">
        <v>313</v>
      </c>
      <c r="K38" s="143">
        <v>5.0</v>
      </c>
      <c r="L38" s="144">
        <v>2.0</v>
      </c>
      <c r="M38" s="144">
        <v>3.0</v>
      </c>
      <c r="N38" s="144">
        <v>2.0</v>
      </c>
      <c r="O38" s="144">
        <v>5.0</v>
      </c>
      <c r="P38" s="144">
        <v>5.0</v>
      </c>
      <c r="Q38" s="122"/>
      <c r="R38" s="223">
        <v>3.0</v>
      </c>
      <c r="S38" s="147">
        <f>IF(SUM(Rankings!$K38:$R38)&gt;0, COUNTIFS(Rankings!$D$2:$D$987, Rankings!$D38, Rankings!$F$2:$F$987, "&lt;"&amp;Rankings!$F38) + COUNTIFS(Rankings!$D$2:$D$987, Rankings!$D38, Rankings!$F$2:$F$987, Rankings!$F38, Rankings!$G$2:$G$987, "&lt;"&amp;Rankings!$G38)+1, "TBD")</f>
        <v>2</v>
      </c>
      <c r="T38" s="225">
        <v>1.0</v>
      </c>
      <c r="U38" s="225" t="b">
        <f>Rankings!$S38=Rankings!$T38</f>
        <v>0</v>
      </c>
      <c r="V38" s="260"/>
      <c r="W38" s="153"/>
    </row>
    <row r="39" ht="15.75" customHeight="1">
      <c r="A39" s="134"/>
      <c r="B39" s="134"/>
      <c r="C39" s="134"/>
      <c r="D39" s="219">
        <f>D37</f>
        <v>45919</v>
      </c>
      <c r="E39" s="227" t="str">
        <f>$M$1</f>
        <v>Giacomo</v>
      </c>
      <c r="F39" s="220">
        <f>IFERROR(AVERAGE(Rankings!$K39:$R39), "TBD")</f>
        <v>3.857142857</v>
      </c>
      <c r="G39" s="220">
        <f>IFERROR(_xlfn.STDEV.P(Rankings!$K39:$R39), "TBD")</f>
        <v>1.355261854</v>
      </c>
      <c r="H39" s="221">
        <f>IFERROR(AVERAGE(Rankings!$K39:$L39, Rankings!$N39:$R39), "TBD")</f>
        <v>4.166666667</v>
      </c>
      <c r="I39" s="222" t="s">
        <v>314</v>
      </c>
      <c r="J39" s="222" t="s">
        <v>315</v>
      </c>
      <c r="K39" s="143">
        <v>6.0</v>
      </c>
      <c r="L39" s="144">
        <v>5.0</v>
      </c>
      <c r="M39" s="144">
        <v>2.0</v>
      </c>
      <c r="N39" s="144">
        <v>4.0</v>
      </c>
      <c r="O39" s="144">
        <v>4.0</v>
      </c>
      <c r="P39" s="144">
        <v>4.0</v>
      </c>
      <c r="Q39" s="122"/>
      <c r="R39" s="223">
        <v>2.0</v>
      </c>
      <c r="S39" s="147">
        <f>IF(SUM(Rankings!$K39:$R39)&gt;0, COUNTIFS(Rankings!$D$2:$D$987, Rankings!$D39, Rankings!$F$2:$F$987, "&lt;"&amp;Rankings!$F39) + COUNTIFS(Rankings!$D$2:$D$987, Rankings!$D39, Rankings!$F$2:$F$987, Rankings!$F39, Rankings!$G$2:$G$987, "&lt;"&amp;Rankings!$G39)+1, "TBD")</f>
        <v>3</v>
      </c>
      <c r="T39" s="225">
        <v>1.0</v>
      </c>
      <c r="U39" s="225" t="b">
        <f>Rankings!$S39=Rankings!$T39</f>
        <v>0</v>
      </c>
      <c r="V39" s="260"/>
      <c r="W39" s="153"/>
    </row>
    <row r="40" ht="15.75" customHeight="1">
      <c r="A40" s="134"/>
      <c r="B40" s="134"/>
      <c r="C40" s="134"/>
      <c r="D40" s="219">
        <f>D37</f>
        <v>45919</v>
      </c>
      <c r="E40" s="227" t="str">
        <f>$N$1</f>
        <v>Rosey</v>
      </c>
      <c r="F40" s="220">
        <f>IFERROR(AVERAGE(Rankings!$K40:$R40), "TBD")</f>
        <v>1</v>
      </c>
      <c r="G40" s="220">
        <f>IFERROR(_xlfn.STDEV.P(Rankings!$K40:$R40), "TBD")</f>
        <v>0</v>
      </c>
      <c r="H40" s="221">
        <f>IFERROR(AVERAGE(Rankings!$K40:$M40, Rankings!$O40:$R40), "TBD")</f>
        <v>1</v>
      </c>
      <c r="I40" s="222" t="s">
        <v>316</v>
      </c>
      <c r="J40" s="222" t="s">
        <v>317</v>
      </c>
      <c r="K40" s="143">
        <v>1.0</v>
      </c>
      <c r="L40" s="144">
        <v>1.0</v>
      </c>
      <c r="M40" s="144">
        <v>1.0</v>
      </c>
      <c r="N40" s="144">
        <v>1.0</v>
      </c>
      <c r="O40" s="144">
        <v>1.0</v>
      </c>
      <c r="P40" s="144">
        <v>1.0</v>
      </c>
      <c r="Q40" s="122"/>
      <c r="R40" s="223">
        <v>1.0</v>
      </c>
      <c r="S40" s="147">
        <f>IF(SUM(Rankings!$K40:$R40)&gt;0, COUNTIFS(Rankings!$D$2:$D$987, Rankings!$D40, Rankings!$F$2:$F$987, "&lt;"&amp;Rankings!$F40) + COUNTIFS(Rankings!$D$2:$D$987, Rankings!$D40, Rankings!$F$2:$F$987, Rankings!$F40, Rankings!$G$2:$G$987, "&lt;"&amp;Rankings!$G40)+1, "TBD")</f>
        <v>1</v>
      </c>
      <c r="T40" s="225">
        <v>1.0</v>
      </c>
      <c r="U40" s="225" t="b">
        <f>Rankings!$S40=Rankings!$T40</f>
        <v>1</v>
      </c>
      <c r="V40" s="260"/>
      <c r="W40" s="153"/>
    </row>
    <row r="41" ht="15.75" customHeight="1">
      <c r="A41" s="134"/>
      <c r="B41" s="134"/>
      <c r="C41" s="134"/>
      <c r="D41" s="219">
        <f t="shared" ref="D41:D43" si="6">D37</f>
        <v>45919</v>
      </c>
      <c r="E41" s="227" t="str">
        <f>$O$1</f>
        <v>TTAC</v>
      </c>
      <c r="F41" s="220">
        <f>IFERROR(AVERAGE(Rankings!$K41:$R41), "TBD")</f>
        <v>4.714285714</v>
      </c>
      <c r="G41" s="220">
        <f>IFERROR(_xlfn.STDEV.P(Rankings!$K41:$R41), "TBD")</f>
        <v>2.118913853</v>
      </c>
      <c r="H41" s="221">
        <f>IFERROR(AVERAGE(Rankings!$K41:$N41, Rankings!$P41:$R41), "TBD")</f>
        <v>5.166666667</v>
      </c>
      <c r="I41" s="222" t="s">
        <v>318</v>
      </c>
      <c r="J41" s="222" t="s">
        <v>319</v>
      </c>
      <c r="K41" s="143">
        <v>4.0</v>
      </c>
      <c r="L41" s="144">
        <v>7.0</v>
      </c>
      <c r="M41" s="144">
        <v>7.0</v>
      </c>
      <c r="N41" s="144">
        <v>7.0</v>
      </c>
      <c r="O41" s="144">
        <v>2.0</v>
      </c>
      <c r="P41" s="144">
        <v>2.0</v>
      </c>
      <c r="Q41" s="122"/>
      <c r="R41" s="223">
        <v>4.0</v>
      </c>
      <c r="S41" s="147">
        <f>IF(SUM(Rankings!$K41:$R41)&gt;0, COUNTIFS(Rankings!$D$2:$D$987, Rankings!$D41, Rankings!$F$2:$F$987, "&lt;"&amp;Rankings!$F41) + COUNTIFS(Rankings!$D$2:$D$987, Rankings!$D41, Rankings!$F$2:$F$987, Rankings!$F41, Rankings!$G$2:$G$987, "&lt;"&amp;Rankings!$G41)+1, "TBD")</f>
        <v>5</v>
      </c>
      <c r="T41" s="225">
        <v>1.0</v>
      </c>
      <c r="U41" s="225" t="b">
        <f>Rankings!$S41=Rankings!$T41</f>
        <v>0</v>
      </c>
      <c r="V41" s="260"/>
      <c r="W41" s="153"/>
    </row>
    <row r="42" ht="15.75" customHeight="1">
      <c r="A42" s="134"/>
      <c r="B42" s="134"/>
      <c r="C42" s="134"/>
      <c r="D42" s="219">
        <f t="shared" si="6"/>
        <v>45919</v>
      </c>
      <c r="E42" s="227" t="str">
        <f>$P$1</f>
        <v>Weston</v>
      </c>
      <c r="F42" s="220">
        <f>IFERROR(AVERAGE(Rankings!$K42:$R42), "TBD")</f>
        <v>5.142857143</v>
      </c>
      <c r="G42" s="220">
        <f>IFERROR(_xlfn.STDEV.P(Rankings!$K42:$R42), "TBD")</f>
        <v>1.355261854</v>
      </c>
      <c r="H42" s="221">
        <f>IFERROR(AVERAGE(Rankings!$K42:$O42, Rankings!$R42), "TBD")</f>
        <v>5.5</v>
      </c>
      <c r="I42" s="222" t="s">
        <v>320</v>
      </c>
      <c r="J42" s="222" t="s">
        <v>321</v>
      </c>
      <c r="K42" s="143">
        <v>3.0</v>
      </c>
      <c r="L42" s="144">
        <v>6.0</v>
      </c>
      <c r="M42" s="144">
        <v>6.0</v>
      </c>
      <c r="N42" s="144">
        <v>6.0</v>
      </c>
      <c r="O42" s="144">
        <v>6.0</v>
      </c>
      <c r="P42" s="144">
        <v>3.0</v>
      </c>
      <c r="Q42" s="122"/>
      <c r="R42" s="223">
        <v>6.0</v>
      </c>
      <c r="S42" s="147">
        <f>IF(SUM(Rankings!$K42:$R42)&gt;0, COUNTIFS(Rankings!$D$2:$D$987, Rankings!$D42, Rankings!$F$2:$F$987, "&lt;"&amp;Rankings!$F42) + COUNTIFS(Rankings!$D$2:$D$987, Rankings!$D42, Rankings!$F$2:$F$987, Rankings!$F42, Rankings!$G$2:$G$987, "&lt;"&amp;Rankings!$G42)+1, "TBD")</f>
        <v>6</v>
      </c>
      <c r="T42" s="225">
        <v>1.0</v>
      </c>
      <c r="U42" s="225" t="b">
        <f>Rankings!$S42=Rankings!$T42</f>
        <v>0</v>
      </c>
      <c r="V42" s="260"/>
      <c r="W42" s="153"/>
    </row>
    <row r="43" ht="15.75" customHeight="1">
      <c r="A43" s="189"/>
      <c r="B43" s="189"/>
      <c r="C43" s="189"/>
      <c r="D43" s="235">
        <f t="shared" si="6"/>
        <v>45919</v>
      </c>
      <c r="E43" s="237" t="str">
        <f>$R$1</f>
        <v>Jake</v>
      </c>
      <c r="F43" s="240">
        <f>IFERROR(AVERAGE(Rankings!$K43:$R43), "TBD")</f>
        <v>4.571428571</v>
      </c>
      <c r="G43" s="240">
        <f>IFERROR(_xlfn.STDEV.P(Rankings!$K43:$R43), "TBD")</f>
        <v>1.498298355</v>
      </c>
      <c r="H43" s="242">
        <f>IFERROR(AVERAGE(Rankings!$K43:$P43), "TBD")</f>
        <v>4.5</v>
      </c>
      <c r="I43" s="243" t="s">
        <v>322</v>
      </c>
      <c r="J43" s="243" t="s">
        <v>323</v>
      </c>
      <c r="K43" s="199">
        <v>7.0</v>
      </c>
      <c r="L43" s="201">
        <v>3.0</v>
      </c>
      <c r="M43" s="201">
        <v>5.0</v>
      </c>
      <c r="N43" s="201">
        <v>3.0</v>
      </c>
      <c r="O43" s="201">
        <v>3.0</v>
      </c>
      <c r="P43" s="201">
        <v>6.0</v>
      </c>
      <c r="Q43" s="122"/>
      <c r="R43" s="244">
        <v>5.0</v>
      </c>
      <c r="S43" s="203">
        <f>IF(SUM(Rankings!$K43:$R43)&gt;0, COUNTIFS(Rankings!$D$2:$D$987, Rankings!$D43, Rankings!$F$2:$F$987, "&lt;"&amp;Rankings!$F43) + COUNTIFS(Rankings!$D$2:$D$987, Rankings!$D43, Rankings!$F$2:$F$987, Rankings!$F43, Rankings!$G$2:$G$987, "&lt;"&amp;Rankings!$G43)+1, "TBD")</f>
        <v>4</v>
      </c>
      <c r="T43" s="247">
        <v>1.0</v>
      </c>
      <c r="U43" s="247" t="b">
        <f>Rankings!$S43=Rankings!$T43</f>
        <v>0</v>
      </c>
      <c r="V43" s="261"/>
      <c r="W43" s="208"/>
    </row>
    <row r="44" ht="15.75" customHeight="1">
      <c r="A44" s="103">
        <v>45922.0</v>
      </c>
      <c r="B44" s="104"/>
      <c r="C44" s="104" t="str">
        <f t="array" ref="C44">INDEX(Rankings!$E44:$E50, MATCH(1, (Rankings!$D44:$D50=$A44)*(Rankings!$U44:$U50=TRUE()), 0))</f>
        <v>Parker</v>
      </c>
      <c r="D44" s="111">
        <f>A44</f>
        <v>45922</v>
      </c>
      <c r="E44" s="113" t="str">
        <f>$K$1</f>
        <v>Logan</v>
      </c>
      <c r="F44" s="115">
        <f>IFERROR(AVERAGE(Rankings!$K44:$R44), "TBD")</f>
        <v>3.285714286</v>
      </c>
      <c r="G44" s="115">
        <f>IFERROR(_xlfn.STDEV.P(Rankings!$K44:$R44), "TBD")</f>
        <v>1.385051388</v>
      </c>
      <c r="H44" s="117">
        <f>IFERROR(AVERAGE(Rankings!$L44:$R44), "TBD")</f>
        <v>3.333333333</v>
      </c>
      <c r="I44" s="119" t="s">
        <v>324</v>
      </c>
      <c r="J44" s="119" t="s">
        <v>325</v>
      </c>
      <c r="K44" s="120">
        <v>3.0</v>
      </c>
      <c r="L44" s="121">
        <v>4.0</v>
      </c>
      <c r="M44" s="121">
        <v>5.0</v>
      </c>
      <c r="N44" s="121">
        <v>1.0</v>
      </c>
      <c r="O44" s="121">
        <v>2.0</v>
      </c>
      <c r="P44" s="121">
        <v>3.0</v>
      </c>
      <c r="Q44" s="122"/>
      <c r="R44" s="216">
        <v>5.0</v>
      </c>
      <c r="S44" s="126">
        <f>IF(SUM(Rankings!$K44:$R44)&gt;0, COUNTIFS(Rankings!$D$2:$D$987, Rankings!$D44, Rankings!$F$2:$F$987, "&lt;"&amp;Rankings!$F44) + COUNTIFS(Rankings!$D$2:$D$987, Rankings!$D44, Rankings!$F$2:$F$987, Rankings!$F44, Rankings!$G$2:$G$987, "&lt;"&amp;Rankings!$G44)+1, "TBD")</f>
        <v>3</v>
      </c>
      <c r="T44" s="217">
        <v>1.0</v>
      </c>
      <c r="U44" s="217" t="b">
        <f>Rankings!$S44=Rankings!$T44</f>
        <v>0</v>
      </c>
      <c r="V44" s="133"/>
      <c r="W44" s="133"/>
    </row>
    <row r="45" ht="15.75" customHeight="1">
      <c r="A45" s="134"/>
      <c r="B45" s="134"/>
      <c r="C45" s="134"/>
      <c r="D45" s="219">
        <f>D44</f>
        <v>45922</v>
      </c>
      <c r="E45" s="138" t="str">
        <f>$L$1</f>
        <v>Parker</v>
      </c>
      <c r="F45" s="220">
        <f>IFERROR(AVERAGE(Rankings!$K45:$R45), "TBD")</f>
        <v>2.714285714</v>
      </c>
      <c r="G45" s="220">
        <f>IFERROR(_xlfn.STDEV.P(Rankings!$K45:$R45), "TBD")</f>
        <v>1.160576915</v>
      </c>
      <c r="H45" s="221">
        <f>IFERROR(AVERAGE(Rankings!$K45, Rankings!$M45:$R45), "TBD")</f>
        <v>2.666666667</v>
      </c>
      <c r="I45" s="222" t="s">
        <v>326</v>
      </c>
      <c r="J45" s="222" t="s">
        <v>327</v>
      </c>
      <c r="K45" s="143">
        <v>2.0</v>
      </c>
      <c r="L45" s="144">
        <v>3.0</v>
      </c>
      <c r="M45" s="144">
        <v>3.0</v>
      </c>
      <c r="N45" s="144">
        <v>2.0</v>
      </c>
      <c r="O45" s="144">
        <v>5.0</v>
      </c>
      <c r="P45" s="144">
        <v>1.0</v>
      </c>
      <c r="Q45" s="122"/>
      <c r="R45" s="223">
        <v>3.0</v>
      </c>
      <c r="S45" s="147">
        <f>IF(SUM(Rankings!$K45:$R45)&gt;0, COUNTIFS(Rankings!$D$2:$D$987, Rankings!$D45, Rankings!$F$2:$F$987, "&lt;"&amp;Rankings!$F45) + COUNTIFS(Rankings!$D$2:$D$987, Rankings!$D45, Rankings!$F$2:$F$987, Rankings!$F45, Rankings!$G$2:$G$987, "&lt;"&amp;Rankings!$G45)+1, "TBD")</f>
        <v>1</v>
      </c>
      <c r="T45" s="225">
        <v>1.0</v>
      </c>
      <c r="U45" s="225" t="b">
        <f>Rankings!$S45=Rankings!$T45</f>
        <v>1</v>
      </c>
      <c r="V45" s="226"/>
      <c r="W45" s="153"/>
    </row>
    <row r="46" ht="15.75" customHeight="1">
      <c r="A46" s="134"/>
      <c r="B46" s="134"/>
      <c r="C46" s="134"/>
      <c r="D46" s="219">
        <f>D44</f>
        <v>45922</v>
      </c>
      <c r="E46" s="227" t="str">
        <f>$M$1</f>
        <v>Giacomo</v>
      </c>
      <c r="F46" s="220">
        <f>IFERROR(AVERAGE(Rankings!$K46:$R46), "TBD")</f>
        <v>4.285714286</v>
      </c>
      <c r="G46" s="220">
        <f>IFERROR(_xlfn.STDEV.P(Rankings!$K46:$R46), "TBD")</f>
        <v>1.979486637</v>
      </c>
      <c r="H46" s="221">
        <f>IFERROR(AVERAGE(Rankings!$K46:$L46, Rankings!$N46:$R46), "TBD")</f>
        <v>4.666666667</v>
      </c>
      <c r="I46" s="222" t="s">
        <v>328</v>
      </c>
      <c r="J46" s="222" t="s">
        <v>329</v>
      </c>
      <c r="K46" s="143">
        <v>1.0</v>
      </c>
      <c r="L46" s="144">
        <v>5.0</v>
      </c>
      <c r="M46" s="144">
        <v>2.0</v>
      </c>
      <c r="N46" s="144">
        <v>5.0</v>
      </c>
      <c r="O46" s="144">
        <v>4.0</v>
      </c>
      <c r="P46" s="144">
        <v>7.0</v>
      </c>
      <c r="Q46" s="122"/>
      <c r="R46" s="223">
        <v>6.0</v>
      </c>
      <c r="S46" s="147">
        <f>IF(SUM(Rankings!$K46:$R46)&gt;0, COUNTIFS(Rankings!$D$2:$D$987, Rankings!$D46, Rankings!$F$2:$F$987, "&lt;"&amp;Rankings!$F46) + COUNTIFS(Rankings!$D$2:$D$987, Rankings!$D46, Rankings!$F$2:$F$987, Rankings!$F46, Rankings!$G$2:$G$987, "&lt;"&amp;Rankings!$G46)+1, "TBD")</f>
        <v>5</v>
      </c>
      <c r="T46" s="225">
        <v>1.0</v>
      </c>
      <c r="U46" s="225" t="b">
        <f>Rankings!$S46=Rankings!$T46</f>
        <v>0</v>
      </c>
      <c r="V46" s="226"/>
      <c r="W46" s="153"/>
    </row>
    <row r="47" ht="15.75" customHeight="1">
      <c r="A47" s="134"/>
      <c r="B47" s="134"/>
      <c r="C47" s="134"/>
      <c r="D47" s="219">
        <f>D44</f>
        <v>45922</v>
      </c>
      <c r="E47" s="227" t="str">
        <f>$N$1</f>
        <v>Rosey</v>
      </c>
      <c r="F47" s="220">
        <f>IFERROR(AVERAGE(Rankings!$K47:$R47), "TBD")</f>
        <v>3.857142857</v>
      </c>
      <c r="G47" s="220">
        <f>IFERROR(_xlfn.STDEV.P(Rankings!$K47:$R47), "TBD")</f>
        <v>2.099562637</v>
      </c>
      <c r="H47" s="221">
        <f>IFERROR(AVERAGE(Rankings!$K47:$M47, Rankings!$O47:$R47), "TBD")</f>
        <v>3.833333333</v>
      </c>
      <c r="I47" s="222" t="s">
        <v>330</v>
      </c>
      <c r="J47" s="222" t="s">
        <v>331</v>
      </c>
      <c r="K47" s="143">
        <v>7.0</v>
      </c>
      <c r="L47" s="144">
        <v>1.0</v>
      </c>
      <c r="M47" s="144">
        <v>1.0</v>
      </c>
      <c r="N47" s="144">
        <v>4.0</v>
      </c>
      <c r="O47" s="144">
        <v>6.0</v>
      </c>
      <c r="P47" s="144">
        <v>4.0</v>
      </c>
      <c r="Q47" s="122"/>
      <c r="R47" s="223">
        <v>4.0</v>
      </c>
      <c r="S47" s="147">
        <f>IF(SUM(Rankings!$K47:$R47)&gt;0, COUNTIFS(Rankings!$D$2:$D$987, Rankings!$D47, Rankings!$F$2:$F$987, "&lt;"&amp;Rankings!$F47) + COUNTIFS(Rankings!$D$2:$D$987, Rankings!$D47, Rankings!$F$2:$F$987, Rankings!$F47, Rankings!$G$2:$G$987, "&lt;"&amp;Rankings!$G47)+1, "TBD")</f>
        <v>4</v>
      </c>
      <c r="T47" s="225">
        <v>1.0</v>
      </c>
      <c r="U47" s="225" t="b">
        <f>Rankings!$S47=Rankings!$T47</f>
        <v>0</v>
      </c>
      <c r="V47" s="226"/>
      <c r="W47" s="153"/>
    </row>
    <row r="48" ht="15.75" customHeight="1">
      <c r="A48" s="134"/>
      <c r="B48" s="134"/>
      <c r="C48" s="134"/>
      <c r="D48" s="219">
        <f t="shared" ref="D48:D50" si="7">D44</f>
        <v>45922</v>
      </c>
      <c r="E48" s="227" t="str">
        <f>$O$1</f>
        <v>TTAC</v>
      </c>
      <c r="F48" s="220">
        <f>IFERROR(AVERAGE(Rankings!$K48:$R48), "TBD")</f>
        <v>5.857142857</v>
      </c>
      <c r="G48" s="220">
        <f>IFERROR(_xlfn.STDEV.P(Rankings!$K48:$R48), "TBD")</f>
        <v>2.030381486</v>
      </c>
      <c r="H48" s="221">
        <f>IFERROR(AVERAGE(Rankings!$K48:$N48, Rankings!$P48:$R48), "TBD")</f>
        <v>6.666666667</v>
      </c>
      <c r="I48" s="222" t="s">
        <v>332</v>
      </c>
      <c r="J48" s="222" t="s">
        <v>333</v>
      </c>
      <c r="K48" s="143">
        <v>6.0</v>
      </c>
      <c r="L48" s="144">
        <v>7.0</v>
      </c>
      <c r="M48" s="144">
        <v>7.0</v>
      </c>
      <c r="N48" s="144">
        <v>7.0</v>
      </c>
      <c r="O48" s="144">
        <v>1.0</v>
      </c>
      <c r="P48" s="144">
        <v>6.0</v>
      </c>
      <c r="Q48" s="122"/>
      <c r="R48" s="223">
        <v>7.0</v>
      </c>
      <c r="S48" s="147">
        <f>IF(SUM(Rankings!$K48:$R48)&gt;0, COUNTIFS(Rankings!$D$2:$D$987, Rankings!$D48, Rankings!$F$2:$F$987, "&lt;"&amp;Rankings!$F48) + COUNTIFS(Rankings!$D$2:$D$987, Rankings!$D48, Rankings!$F$2:$F$987, Rankings!$F48, Rankings!$G$2:$G$987, "&lt;"&amp;Rankings!$G48)+1, "TBD")</f>
        <v>7</v>
      </c>
      <c r="T48" s="225">
        <v>1.0</v>
      </c>
      <c r="U48" s="225" t="b">
        <f>Rankings!$S48=Rankings!$T48</f>
        <v>0</v>
      </c>
      <c r="V48" s="226"/>
      <c r="W48" s="153"/>
    </row>
    <row r="49" ht="15.75" customHeight="1">
      <c r="A49" s="134"/>
      <c r="B49" s="134"/>
      <c r="C49" s="134"/>
      <c r="D49" s="219">
        <f t="shared" si="7"/>
        <v>45922</v>
      </c>
      <c r="E49" s="227" t="str">
        <f>$P$1</f>
        <v>Weston</v>
      </c>
      <c r="F49" s="220">
        <f>IFERROR(AVERAGE(Rankings!$K49:$R49), "TBD")</f>
        <v>3.142857143</v>
      </c>
      <c r="G49" s="220">
        <f>IFERROR(_xlfn.STDEV.P(Rankings!$K49:$R49), "TBD")</f>
        <v>1.355261854</v>
      </c>
      <c r="H49" s="221">
        <f>IFERROR(AVERAGE(Rankings!$K49:$O49, Rankings!$R49), "TBD")</f>
        <v>3.333333333</v>
      </c>
      <c r="I49" s="222" t="s">
        <v>334</v>
      </c>
      <c r="J49" s="222" t="s">
        <v>335</v>
      </c>
      <c r="K49" s="143">
        <v>4.0</v>
      </c>
      <c r="L49" s="144">
        <v>2.0</v>
      </c>
      <c r="M49" s="144">
        <v>6.0</v>
      </c>
      <c r="N49" s="144">
        <v>3.0</v>
      </c>
      <c r="O49" s="144">
        <v>3.0</v>
      </c>
      <c r="P49" s="144">
        <v>2.0</v>
      </c>
      <c r="Q49" s="122"/>
      <c r="R49" s="223">
        <v>2.0</v>
      </c>
      <c r="S49" s="147">
        <f>IF(SUM(Rankings!$K49:$R49)&gt;0, COUNTIFS(Rankings!$D$2:$D$987, Rankings!$D49, Rankings!$F$2:$F$987, "&lt;"&amp;Rankings!$F49) + COUNTIFS(Rankings!$D$2:$D$987, Rankings!$D49, Rankings!$F$2:$F$987, Rankings!$F49, Rankings!$G$2:$G$987, "&lt;"&amp;Rankings!$G49)+1, "TBD")</f>
        <v>2</v>
      </c>
      <c r="T49" s="225">
        <v>1.0</v>
      </c>
      <c r="U49" s="225" t="b">
        <f>Rankings!$S49=Rankings!$T49</f>
        <v>0</v>
      </c>
      <c r="V49" s="226"/>
      <c r="W49" s="153"/>
    </row>
    <row r="50" ht="15.75" customHeight="1">
      <c r="A50" s="189"/>
      <c r="B50" s="189"/>
      <c r="C50" s="189"/>
      <c r="D50" s="235">
        <f t="shared" si="7"/>
        <v>45922</v>
      </c>
      <c r="E50" s="237" t="str">
        <f>$R$1</f>
        <v>Jake</v>
      </c>
      <c r="F50" s="240">
        <f>IFERROR(AVERAGE(Rankings!$K50:$R50), "TBD")</f>
        <v>4.857142857</v>
      </c>
      <c r="G50" s="240">
        <f>IFERROR(_xlfn.STDEV.P(Rankings!$K50:$R50), "TBD")</f>
        <v>1.807015806</v>
      </c>
      <c r="H50" s="242">
        <f>IFERROR(AVERAGE(Rankings!$K50:$P50), "TBD")</f>
        <v>5.5</v>
      </c>
      <c r="I50" s="243" t="s">
        <v>336</v>
      </c>
      <c r="J50" s="243" t="s">
        <v>337</v>
      </c>
      <c r="K50" s="199">
        <v>5.0</v>
      </c>
      <c r="L50" s="201">
        <v>6.0</v>
      </c>
      <c r="M50" s="201">
        <v>4.0</v>
      </c>
      <c r="N50" s="201">
        <v>6.0</v>
      </c>
      <c r="O50" s="201">
        <v>7.0</v>
      </c>
      <c r="P50" s="201">
        <v>5.0</v>
      </c>
      <c r="Q50" s="122"/>
      <c r="R50" s="244">
        <v>1.0</v>
      </c>
      <c r="S50" s="203">
        <f>IF(SUM(Rankings!$K50:$R50)&gt;0, COUNTIFS(Rankings!$D$2:$D$987, Rankings!$D50, Rankings!$F$2:$F$987, "&lt;"&amp;Rankings!$F50) + COUNTIFS(Rankings!$D$2:$D$987, Rankings!$D50, Rankings!$F$2:$F$987, Rankings!$F50, Rankings!$G$2:$G$987, "&lt;"&amp;Rankings!$G50)+1, "TBD")</f>
        <v>6</v>
      </c>
      <c r="T50" s="247">
        <v>1.0</v>
      </c>
      <c r="U50" s="247" t="b">
        <f>Rankings!$S50=Rankings!$T50</f>
        <v>0</v>
      </c>
      <c r="V50" s="248"/>
      <c r="W50" s="208"/>
    </row>
    <row r="51" ht="15.75" customHeight="1">
      <c r="A51" s="103">
        <v>45924.0</v>
      </c>
      <c r="B51" s="104"/>
      <c r="C51" s="104" t="str">
        <f t="array" ref="C51">INDEX(Rankings!$E51:$E57, MATCH(1, (Rankings!$D51:$D57=$A51)*(Rankings!$U51:$U57=TRUE()), 0))</f>
        <v>Giacomo</v>
      </c>
      <c r="D51" s="111">
        <f>A51</f>
        <v>45924</v>
      </c>
      <c r="E51" s="113" t="str">
        <f>$K$1</f>
        <v>Logan</v>
      </c>
      <c r="F51" s="115">
        <f>IFERROR(AVERAGE(Rankings!$K51:$R51), "TBD")</f>
        <v>3.571428571</v>
      </c>
      <c r="G51" s="115">
        <f>IFERROR(_xlfn.STDEV.P(Rankings!$K51:$R51), "TBD")</f>
        <v>2.441143927</v>
      </c>
      <c r="H51" s="117">
        <f>IFERROR(AVERAGE(Rankings!$L51:$R51), "TBD")</f>
        <v>3.833333333</v>
      </c>
      <c r="I51" s="119" t="s">
        <v>338</v>
      </c>
      <c r="J51" s="119" t="s">
        <v>339</v>
      </c>
      <c r="K51" s="120">
        <v>2.0</v>
      </c>
      <c r="L51" s="121">
        <v>2.0</v>
      </c>
      <c r="M51" s="121">
        <v>6.0</v>
      </c>
      <c r="N51" s="121">
        <v>6.0</v>
      </c>
      <c r="O51" s="121">
        <v>1.0</v>
      </c>
      <c r="P51" s="121">
        <v>1.0</v>
      </c>
      <c r="Q51" s="122"/>
      <c r="R51" s="216">
        <v>7.0</v>
      </c>
      <c r="S51" s="126">
        <f>IF(SUM(Rankings!$K51:$R51)&gt;0, COUNTIFS(Rankings!$D$2:$D$987, Rankings!$D51, Rankings!$F$2:$F$987, "&lt;"&amp;Rankings!$F51) + COUNTIFS(Rankings!$D$2:$D$987, Rankings!$D51, Rankings!$F$2:$F$987, Rankings!$F51, Rankings!$G$2:$G$987, "&lt;"&amp;Rankings!$G51)+1, "TBD")</f>
        <v>3</v>
      </c>
      <c r="T51" s="217">
        <v>1.0</v>
      </c>
      <c r="U51" s="217" t="b">
        <f>Rankings!$S51=Rankings!$T51</f>
        <v>0</v>
      </c>
      <c r="V51" s="133"/>
      <c r="W51" s="133"/>
    </row>
    <row r="52" ht="15.75" customHeight="1">
      <c r="A52" s="134"/>
      <c r="B52" s="134"/>
      <c r="C52" s="134"/>
      <c r="D52" s="219">
        <f>D51</f>
        <v>45924</v>
      </c>
      <c r="E52" s="138" t="str">
        <f>$L$1</f>
        <v>Parker</v>
      </c>
      <c r="F52" s="220">
        <f>IFERROR(AVERAGE(Rankings!$K52:$R52), "TBD")</f>
        <v>4.142857143</v>
      </c>
      <c r="G52" s="220">
        <f>IFERROR(_xlfn.STDEV.P(Rankings!$K52:$R52), "TBD")</f>
        <v>1.958758457</v>
      </c>
      <c r="H52" s="221">
        <f>IFERROR(AVERAGE(Rankings!$K52, Rankings!$M52:$R52), "TBD")</f>
        <v>4.666666667</v>
      </c>
      <c r="I52" s="222" t="s">
        <v>340</v>
      </c>
      <c r="J52" s="222" t="s">
        <v>341</v>
      </c>
      <c r="K52" s="143">
        <v>5.0</v>
      </c>
      <c r="L52" s="144">
        <v>1.0</v>
      </c>
      <c r="M52" s="144">
        <v>4.0</v>
      </c>
      <c r="N52" s="144">
        <v>2.0</v>
      </c>
      <c r="O52" s="144">
        <v>7.0</v>
      </c>
      <c r="P52" s="144">
        <v>6.0</v>
      </c>
      <c r="Q52" s="122"/>
      <c r="R52" s="223">
        <v>4.0</v>
      </c>
      <c r="S52" s="147">
        <f>IF(SUM(Rankings!$K52:$R52)&gt;0, COUNTIFS(Rankings!$D$2:$D$987, Rankings!$D52, Rankings!$F$2:$F$987, "&lt;"&amp;Rankings!$F52) + COUNTIFS(Rankings!$D$2:$D$987, Rankings!$D52, Rankings!$F$2:$F$987, Rankings!$F52, Rankings!$G$2:$G$987, "&lt;"&amp;Rankings!$G52)+1, "TBD")</f>
        <v>5</v>
      </c>
      <c r="T52" s="225">
        <v>1.0</v>
      </c>
      <c r="U52" s="225" t="b">
        <f>Rankings!$S52=Rankings!$T52</f>
        <v>0</v>
      </c>
      <c r="V52" s="226"/>
      <c r="W52" s="153"/>
    </row>
    <row r="53" ht="15.75" customHeight="1">
      <c r="A53" s="134"/>
      <c r="B53" s="134"/>
      <c r="C53" s="134"/>
      <c r="D53" s="219">
        <f>D51</f>
        <v>45924</v>
      </c>
      <c r="E53" s="227" t="str">
        <f>$M$1</f>
        <v>Giacomo</v>
      </c>
      <c r="F53" s="220">
        <f>IFERROR(AVERAGE(Rankings!$K53:$R53), "TBD")</f>
        <v>3.285714286</v>
      </c>
      <c r="G53" s="220">
        <f>IFERROR(_xlfn.STDEV.P(Rankings!$K53:$R53), "TBD")</f>
        <v>1.749635531</v>
      </c>
      <c r="H53" s="221">
        <f>IFERROR(AVERAGE(Rankings!$K53:$L53, Rankings!$N53:$R53), "TBD")</f>
        <v>3.666666667</v>
      </c>
      <c r="I53" s="222" t="s">
        <v>342</v>
      </c>
      <c r="J53" s="222" t="s">
        <v>343</v>
      </c>
      <c r="K53" s="143">
        <v>1.0</v>
      </c>
      <c r="L53" s="144">
        <v>5.0</v>
      </c>
      <c r="M53" s="144">
        <v>1.0</v>
      </c>
      <c r="N53" s="144">
        <v>5.0</v>
      </c>
      <c r="O53" s="144">
        <v>2.0</v>
      </c>
      <c r="P53" s="144">
        <v>4.0</v>
      </c>
      <c r="Q53" s="122"/>
      <c r="R53" s="223">
        <v>5.0</v>
      </c>
      <c r="S53" s="147">
        <f>IF(SUM(Rankings!$K53:$R53)&gt;0, COUNTIFS(Rankings!$D$2:$D$987, Rankings!$D53, Rankings!$F$2:$F$987, "&lt;"&amp;Rankings!$F53) + COUNTIFS(Rankings!$D$2:$D$987, Rankings!$D53, Rankings!$F$2:$F$987, Rankings!$F53, Rankings!$G$2:$G$987, "&lt;"&amp;Rankings!$G53)+1, "TBD")</f>
        <v>1</v>
      </c>
      <c r="T53" s="225">
        <v>1.0</v>
      </c>
      <c r="U53" s="225" t="b">
        <f>Rankings!$S53=Rankings!$T53</f>
        <v>1</v>
      </c>
      <c r="V53" s="226"/>
      <c r="W53" s="153"/>
    </row>
    <row r="54" ht="15.75" customHeight="1">
      <c r="A54" s="134"/>
      <c r="B54" s="134"/>
      <c r="C54" s="134"/>
      <c r="D54" s="219">
        <f>D51</f>
        <v>45924</v>
      </c>
      <c r="E54" s="227" t="str">
        <f>$N$1</f>
        <v>Rosey</v>
      </c>
      <c r="F54" s="220">
        <f>IFERROR(AVERAGE(Rankings!$K54:$R54), "TBD")</f>
        <v>3.428571429</v>
      </c>
      <c r="G54" s="220">
        <f>IFERROR(_xlfn.STDEV.P(Rankings!$K54:$R54), "TBD")</f>
        <v>2.128523489</v>
      </c>
      <c r="H54" s="221">
        <f>IFERROR(AVERAGE(Rankings!$K54:$M54, Rankings!$O54:$R54), "TBD")</f>
        <v>3.833333333</v>
      </c>
      <c r="I54" s="222" t="s">
        <v>344</v>
      </c>
      <c r="J54" s="222" t="s">
        <v>345</v>
      </c>
      <c r="K54" s="143">
        <v>7.0</v>
      </c>
      <c r="L54" s="144">
        <v>3.0</v>
      </c>
      <c r="M54" s="144">
        <v>2.0</v>
      </c>
      <c r="N54" s="144">
        <v>1.0</v>
      </c>
      <c r="O54" s="144">
        <v>5.0</v>
      </c>
      <c r="P54" s="144">
        <v>5.0</v>
      </c>
      <c r="Q54" s="122"/>
      <c r="R54" s="223">
        <v>1.0</v>
      </c>
      <c r="S54" s="147">
        <f>IF(SUM(Rankings!$K54:$R54)&gt;0, COUNTIFS(Rankings!$D$2:$D$987, Rankings!$D54, Rankings!$F$2:$F$987, "&lt;"&amp;Rankings!$F54) + COUNTIFS(Rankings!$D$2:$D$987, Rankings!$D54, Rankings!$F$2:$F$987, Rankings!$F54, Rankings!$G$2:$G$987, "&lt;"&amp;Rankings!$G54)+1, "TBD")</f>
        <v>2</v>
      </c>
      <c r="T54" s="225">
        <v>1.0</v>
      </c>
      <c r="U54" s="225" t="b">
        <f>Rankings!$S54=Rankings!$T54</f>
        <v>0</v>
      </c>
      <c r="V54" s="226"/>
      <c r="W54" s="153"/>
    </row>
    <row r="55" ht="15.75" customHeight="1">
      <c r="A55" s="134"/>
      <c r="B55" s="134"/>
      <c r="C55" s="134"/>
      <c r="D55" s="219">
        <f t="shared" ref="D55:D57" si="8">D51</f>
        <v>45924</v>
      </c>
      <c r="E55" s="227" t="str">
        <f>$O$1</f>
        <v>TTAC</v>
      </c>
      <c r="F55" s="220">
        <f>IFERROR(AVERAGE(Rankings!$K55:$R55), "TBD")</f>
        <v>5.285714286</v>
      </c>
      <c r="G55" s="220">
        <f>IFERROR(_xlfn.STDEV.P(Rankings!$K55:$R55), "TBD")</f>
        <v>1.979486637</v>
      </c>
      <c r="H55" s="221">
        <f>IFERROR(AVERAGE(Rankings!$K55:$N55, Rankings!$P55:$R55), "TBD")</f>
        <v>5.666666667</v>
      </c>
      <c r="I55" s="222" t="s">
        <v>346</v>
      </c>
      <c r="J55" s="222" t="s">
        <v>347</v>
      </c>
      <c r="K55" s="143">
        <v>3.0</v>
      </c>
      <c r="L55" s="144">
        <v>7.0</v>
      </c>
      <c r="M55" s="144">
        <v>7.0</v>
      </c>
      <c r="N55" s="144">
        <v>7.0</v>
      </c>
      <c r="O55" s="144">
        <v>3.0</v>
      </c>
      <c r="P55" s="144">
        <v>7.0</v>
      </c>
      <c r="Q55" s="122"/>
      <c r="R55" s="223">
        <v>3.0</v>
      </c>
      <c r="S55" s="147">
        <f>IF(SUM(Rankings!$K55:$R55)&gt;0, COUNTIFS(Rankings!$D$2:$D$987, Rankings!$D55, Rankings!$F$2:$F$987, "&lt;"&amp;Rankings!$F55) + COUNTIFS(Rankings!$D$2:$D$987, Rankings!$D55, Rankings!$F$2:$F$987, Rankings!$F55, Rankings!$G$2:$G$987, "&lt;"&amp;Rankings!$G55)+1, "TBD")</f>
        <v>7</v>
      </c>
      <c r="T55" s="225">
        <v>1.0</v>
      </c>
      <c r="U55" s="225" t="b">
        <f>Rankings!$S55=Rankings!$T55</f>
        <v>0</v>
      </c>
      <c r="V55" s="226"/>
      <c r="W55" s="153"/>
    </row>
    <row r="56" ht="15.75" customHeight="1">
      <c r="A56" s="134"/>
      <c r="B56" s="134"/>
      <c r="C56" s="134"/>
      <c r="D56" s="219">
        <f t="shared" si="8"/>
        <v>45924</v>
      </c>
      <c r="E56" s="227" t="str">
        <f>$P$1</f>
        <v>Weston</v>
      </c>
      <c r="F56" s="220">
        <f>IFERROR(AVERAGE(Rankings!$K56:$R56), "TBD")</f>
        <v>4.285714286</v>
      </c>
      <c r="G56" s="220">
        <f>IFERROR(_xlfn.STDEV.P(Rankings!$K56:$R56), "TBD")</f>
        <v>1.385051388</v>
      </c>
      <c r="H56" s="221">
        <f>IFERROR(AVERAGE(Rankings!$K56:$O56, Rankings!$R56), "TBD")</f>
        <v>4.666666667</v>
      </c>
      <c r="I56" s="222" t="s">
        <v>348</v>
      </c>
      <c r="J56" s="222" t="s">
        <v>349</v>
      </c>
      <c r="K56" s="143">
        <v>4.0</v>
      </c>
      <c r="L56" s="144">
        <v>4.0</v>
      </c>
      <c r="M56" s="144">
        <v>5.0</v>
      </c>
      <c r="N56" s="144">
        <v>3.0</v>
      </c>
      <c r="O56" s="144">
        <v>6.0</v>
      </c>
      <c r="P56" s="144">
        <v>2.0</v>
      </c>
      <c r="Q56" s="122"/>
      <c r="R56" s="223">
        <v>6.0</v>
      </c>
      <c r="S56" s="147">
        <f>IF(SUM(Rankings!$K56:$R56)&gt;0, COUNTIFS(Rankings!$D$2:$D$987, Rankings!$D56, Rankings!$F$2:$F$987, "&lt;"&amp;Rankings!$F56) + COUNTIFS(Rankings!$D$2:$D$987, Rankings!$D56, Rankings!$F$2:$F$987, Rankings!$F56, Rankings!$G$2:$G$987, "&lt;"&amp;Rankings!$G56)+1, "TBD")</f>
        <v>6</v>
      </c>
      <c r="T56" s="225">
        <v>1.0</v>
      </c>
      <c r="U56" s="225" t="b">
        <f>Rankings!$S56=Rankings!$T56</f>
        <v>0</v>
      </c>
      <c r="V56" s="226"/>
      <c r="W56" s="153"/>
    </row>
    <row r="57" ht="15.75" customHeight="1">
      <c r="A57" s="189"/>
      <c r="B57" s="189"/>
      <c r="C57" s="189"/>
      <c r="D57" s="235">
        <f t="shared" si="8"/>
        <v>45924</v>
      </c>
      <c r="E57" s="237" t="str">
        <f>$R$1</f>
        <v>Jake</v>
      </c>
      <c r="F57" s="240">
        <f>IFERROR(AVERAGE(Rankings!$K57:$R57), "TBD")</f>
        <v>4</v>
      </c>
      <c r="G57" s="240">
        <f>IFERROR(_xlfn.STDEV.P(Rankings!$K57:$R57), "TBD")</f>
        <v>1.414213562</v>
      </c>
      <c r="H57" s="242">
        <f>IFERROR(AVERAGE(Rankings!$K57:$P57), "TBD")</f>
        <v>4.333333333</v>
      </c>
      <c r="I57" s="243" t="s">
        <v>350</v>
      </c>
      <c r="J57" s="243" t="s">
        <v>351</v>
      </c>
      <c r="K57" s="199">
        <v>6.0</v>
      </c>
      <c r="L57" s="201">
        <v>6.0</v>
      </c>
      <c r="M57" s="201">
        <v>3.0</v>
      </c>
      <c r="N57" s="201">
        <v>4.0</v>
      </c>
      <c r="O57" s="201">
        <v>4.0</v>
      </c>
      <c r="P57" s="201">
        <v>3.0</v>
      </c>
      <c r="Q57" s="122"/>
      <c r="R57" s="244">
        <v>2.0</v>
      </c>
      <c r="S57" s="203">
        <f>IF(SUM(Rankings!$K57:$R57)&gt;0, COUNTIFS(Rankings!$D$2:$D$987, Rankings!$D57, Rankings!$F$2:$F$987, "&lt;"&amp;Rankings!$F57) + COUNTIFS(Rankings!$D$2:$D$987, Rankings!$D57, Rankings!$F$2:$F$987, Rankings!$F57, Rankings!$G$2:$G$987, "&lt;"&amp;Rankings!$G57)+1, "TBD")</f>
        <v>4</v>
      </c>
      <c r="T57" s="247">
        <v>1.0</v>
      </c>
      <c r="U57" s="247" t="b">
        <f>Rankings!$S57=Rankings!$T57</f>
        <v>0</v>
      </c>
      <c r="V57" s="248"/>
      <c r="W57" s="208"/>
    </row>
    <row r="58" ht="15.75" customHeight="1">
      <c r="A58" s="103">
        <v>45926.0</v>
      </c>
      <c r="B58" s="104"/>
      <c r="C58" s="104" t="str">
        <f t="array" ref="C58">INDEX(Rankings!$E58:$E64, MATCH(1, (Rankings!$D58:$D64=$A58)*(Rankings!$U58:$U64=TRUE()), 0))</f>
        <v>Weston</v>
      </c>
      <c r="D58" s="111">
        <f>A58</f>
        <v>45926</v>
      </c>
      <c r="E58" s="113" t="str">
        <f>$K$1</f>
        <v>Logan</v>
      </c>
      <c r="F58" s="115">
        <f>IFERROR(AVERAGE(Rankings!$K58:$R58), "TBD")</f>
        <v>4.714285714</v>
      </c>
      <c r="G58" s="115">
        <f>IFERROR(_xlfn.STDEV.P(Rankings!$K58:$R58), "TBD")</f>
        <v>2.249716535</v>
      </c>
      <c r="H58" s="117">
        <f>IFERROR(AVERAGE(Rankings!$L58:$R58), "TBD")</f>
        <v>5</v>
      </c>
      <c r="I58" s="119" t="s">
        <v>352</v>
      </c>
      <c r="J58" s="119" t="s">
        <v>353</v>
      </c>
      <c r="K58" s="120">
        <v>3.0</v>
      </c>
      <c r="L58" s="121">
        <v>7.0</v>
      </c>
      <c r="M58" s="121">
        <v>1.0</v>
      </c>
      <c r="N58" s="121">
        <v>7.0</v>
      </c>
      <c r="O58" s="121">
        <v>7.0</v>
      </c>
      <c r="P58" s="121">
        <v>5.0</v>
      </c>
      <c r="Q58" s="122"/>
      <c r="R58" s="216">
        <v>3.0</v>
      </c>
      <c r="S58" s="126">
        <f>IF(SUM(Rankings!$K58:$R58)&gt;0, COUNTIFS(Rankings!$D$2:$D$987, Rankings!$D58, Rankings!$F$2:$F$987, "&lt;"&amp;Rankings!$F58) + COUNTIFS(Rankings!$D$2:$D$987, Rankings!$D58, Rankings!$F$2:$F$987, Rankings!$F58, Rankings!$G$2:$G$987, "&lt;"&amp;Rankings!$G58)+1, "TBD")</f>
        <v>6</v>
      </c>
      <c r="T58" s="217">
        <v>1.0</v>
      </c>
      <c r="U58" s="217" t="b">
        <f>Rankings!$S58=Rankings!$T58</f>
        <v>0</v>
      </c>
      <c r="V58" s="133"/>
      <c r="W58" s="133"/>
    </row>
    <row r="59" ht="15.75" customHeight="1">
      <c r="A59" s="134"/>
      <c r="B59" s="134"/>
      <c r="C59" s="134"/>
      <c r="D59" s="219">
        <f>D58</f>
        <v>45926</v>
      </c>
      <c r="E59" s="138" t="str">
        <f>$L$1</f>
        <v>Parker</v>
      </c>
      <c r="F59" s="220">
        <f>IFERROR(AVERAGE(Rankings!$K59:$R59), "TBD")</f>
        <v>4.714285714</v>
      </c>
      <c r="G59" s="220">
        <f>IFERROR(_xlfn.STDEV.P(Rankings!$K59:$R59), "TBD")</f>
        <v>0.8806305719</v>
      </c>
      <c r="H59" s="221">
        <f>IFERROR(AVERAGE(Rankings!$K59, Rankings!$M59:$R59), "TBD")</f>
        <v>4.833333333</v>
      </c>
      <c r="I59" s="222" t="s">
        <v>354</v>
      </c>
      <c r="J59" s="222" t="s">
        <v>355</v>
      </c>
      <c r="K59" s="143">
        <v>6.0</v>
      </c>
      <c r="L59" s="144">
        <v>4.0</v>
      </c>
      <c r="M59" s="144">
        <v>5.0</v>
      </c>
      <c r="N59" s="144">
        <v>6.0</v>
      </c>
      <c r="O59" s="144">
        <v>4.0</v>
      </c>
      <c r="P59" s="144">
        <v>4.0</v>
      </c>
      <c r="Q59" s="122"/>
      <c r="R59" s="223">
        <v>4.0</v>
      </c>
      <c r="S59" s="147">
        <f>IF(SUM(Rankings!$K59:$R59)&gt;0, COUNTIFS(Rankings!$D$2:$D$987, Rankings!$D59, Rankings!$F$2:$F$987, "&lt;"&amp;Rankings!$F59) + COUNTIFS(Rankings!$D$2:$D$987, Rankings!$D59, Rankings!$F$2:$F$987, Rankings!$F59, Rankings!$G$2:$G$987, "&lt;"&amp;Rankings!$G59)+1, "TBD")</f>
        <v>5</v>
      </c>
      <c r="T59" s="225">
        <v>1.0</v>
      </c>
      <c r="U59" s="225" t="b">
        <f>Rankings!$S59=Rankings!$T59</f>
        <v>0</v>
      </c>
      <c r="V59" s="226"/>
      <c r="W59" s="153"/>
    </row>
    <row r="60" ht="15.75" customHeight="1">
      <c r="A60" s="134"/>
      <c r="B60" s="134"/>
      <c r="C60" s="134"/>
      <c r="D60" s="219">
        <f>D58</f>
        <v>45926</v>
      </c>
      <c r="E60" s="227" t="str">
        <f>$M$1</f>
        <v>Giacomo</v>
      </c>
      <c r="F60" s="220">
        <f>IFERROR(AVERAGE(Rankings!$K60:$R60), "TBD")</f>
        <v>4.857142857</v>
      </c>
      <c r="G60" s="220">
        <f>IFERROR(_xlfn.STDEV.P(Rankings!$K60:$R60), "TBD")</f>
        <v>1.641303613</v>
      </c>
      <c r="H60" s="221">
        <f>IFERROR(AVERAGE(Rankings!$K60:$L60, Rankings!$N60:$R60), "TBD")</f>
        <v>5.333333333</v>
      </c>
      <c r="I60" s="222" t="s">
        <v>356</v>
      </c>
      <c r="J60" s="222" t="s">
        <v>357</v>
      </c>
      <c r="K60" s="143">
        <v>5.0</v>
      </c>
      <c r="L60" s="144">
        <v>5.0</v>
      </c>
      <c r="M60" s="144">
        <v>2.0</v>
      </c>
      <c r="N60" s="144">
        <v>3.0</v>
      </c>
      <c r="O60" s="144">
        <v>6.0</v>
      </c>
      <c r="P60" s="144">
        <v>7.0</v>
      </c>
      <c r="Q60" s="122"/>
      <c r="R60" s="223">
        <v>6.0</v>
      </c>
      <c r="S60" s="147">
        <f>IF(SUM(Rankings!$K60:$R60)&gt;0, COUNTIFS(Rankings!$D$2:$D$987, Rankings!$D60, Rankings!$F$2:$F$987, "&lt;"&amp;Rankings!$F60) + COUNTIFS(Rankings!$D$2:$D$987, Rankings!$D60, Rankings!$F$2:$F$987, Rankings!$F60, Rankings!$G$2:$G$987, "&lt;"&amp;Rankings!$G60)+1, "TBD")</f>
        <v>7</v>
      </c>
      <c r="T60" s="225">
        <v>1.0</v>
      </c>
      <c r="U60" s="225" t="b">
        <f>Rankings!$S60=Rankings!$T60</f>
        <v>0</v>
      </c>
      <c r="V60" s="226"/>
      <c r="W60" s="153"/>
    </row>
    <row r="61" ht="15.75" customHeight="1">
      <c r="A61" s="134"/>
      <c r="B61" s="134"/>
      <c r="C61" s="134"/>
      <c r="D61" s="219">
        <f>D58</f>
        <v>45926</v>
      </c>
      <c r="E61" s="227" t="str">
        <f>$N$1</f>
        <v>Rosey</v>
      </c>
      <c r="F61" s="220">
        <f>IFERROR(AVERAGE(Rankings!$K61:$R61), "TBD")</f>
        <v>3.285714286</v>
      </c>
      <c r="G61" s="220">
        <f>IFERROR(_xlfn.STDEV.P(Rankings!$K61:$R61), "TBD")</f>
        <v>2.249716535</v>
      </c>
      <c r="H61" s="221">
        <f>IFERROR(AVERAGE(Rankings!$K61:$M61, Rankings!$O61:$R61), "TBD")</f>
        <v>3.666666667</v>
      </c>
      <c r="I61" s="222" t="s">
        <v>358</v>
      </c>
      <c r="J61" s="222" t="s">
        <v>359</v>
      </c>
      <c r="K61" s="143">
        <v>2.0</v>
      </c>
      <c r="L61" s="144">
        <v>6.0</v>
      </c>
      <c r="M61" s="144">
        <v>4.0</v>
      </c>
      <c r="N61" s="144">
        <v>1.0</v>
      </c>
      <c r="O61" s="144">
        <v>2.0</v>
      </c>
      <c r="P61" s="144">
        <v>1.0</v>
      </c>
      <c r="Q61" s="122"/>
      <c r="R61" s="223">
        <v>7.0</v>
      </c>
      <c r="S61" s="147">
        <f>IF(SUM(Rankings!$K61:$R61)&gt;0, COUNTIFS(Rankings!$D$2:$D$987, Rankings!$D61, Rankings!$F$2:$F$987, "&lt;"&amp;Rankings!$F61) + COUNTIFS(Rankings!$D$2:$D$987, Rankings!$D61, Rankings!$F$2:$F$987, Rankings!$F61, Rankings!$G$2:$G$987, "&lt;"&amp;Rankings!$G61)+1, "TBD")</f>
        <v>2</v>
      </c>
      <c r="T61" s="225">
        <v>1.0</v>
      </c>
      <c r="U61" s="225" t="b">
        <f>Rankings!$S61=Rankings!$T61</f>
        <v>0</v>
      </c>
      <c r="V61" s="226"/>
      <c r="W61" s="153"/>
    </row>
    <row r="62" ht="15.75" customHeight="1">
      <c r="A62" s="134"/>
      <c r="B62" s="134"/>
      <c r="C62" s="134"/>
      <c r="D62" s="219">
        <f t="shared" ref="D62:D64" si="9">D58</f>
        <v>45926</v>
      </c>
      <c r="E62" s="227" t="str">
        <f>$O$1</f>
        <v>TTAC</v>
      </c>
      <c r="F62" s="220">
        <f>IFERROR(AVERAGE(Rankings!$K62:$R62), "TBD")</f>
        <v>4.285714286</v>
      </c>
      <c r="G62" s="220">
        <f>IFERROR(_xlfn.STDEV.P(Rankings!$K62:$R62), "TBD")</f>
        <v>1.665986256</v>
      </c>
      <c r="H62" s="221">
        <f>IFERROR(AVERAGE(Rankings!$K62:$N62, Rankings!$P62:$R62), "TBD")</f>
        <v>4.5</v>
      </c>
      <c r="I62" s="222" t="s">
        <v>360</v>
      </c>
      <c r="J62" s="222" t="s">
        <v>361</v>
      </c>
      <c r="K62" s="143">
        <v>4.0</v>
      </c>
      <c r="L62" s="144">
        <v>3.0</v>
      </c>
      <c r="M62" s="144">
        <v>7.0</v>
      </c>
      <c r="N62" s="144">
        <v>2.0</v>
      </c>
      <c r="O62" s="144">
        <v>3.0</v>
      </c>
      <c r="P62" s="144">
        <v>6.0</v>
      </c>
      <c r="Q62" s="122"/>
      <c r="R62" s="223">
        <v>5.0</v>
      </c>
      <c r="S62" s="147">
        <f>IF(SUM(Rankings!$K62:$R62)&gt;0, COUNTIFS(Rankings!$D$2:$D$987, Rankings!$D62, Rankings!$F$2:$F$987, "&lt;"&amp;Rankings!$F62) + COUNTIFS(Rankings!$D$2:$D$987, Rankings!$D62, Rankings!$F$2:$F$987, Rankings!$F62, Rankings!$G$2:$G$987, "&lt;"&amp;Rankings!$G62)+1, "TBD")</f>
        <v>4</v>
      </c>
      <c r="T62" s="225">
        <v>1.0</v>
      </c>
      <c r="U62" s="225" t="b">
        <f>Rankings!$S62=Rankings!$T62</f>
        <v>0</v>
      </c>
      <c r="V62" s="226"/>
      <c r="W62" s="153"/>
    </row>
    <row r="63" ht="15.75" customHeight="1">
      <c r="A63" s="134"/>
      <c r="B63" s="134"/>
      <c r="C63" s="134"/>
      <c r="D63" s="219">
        <f t="shared" si="9"/>
        <v>45926</v>
      </c>
      <c r="E63" s="227" t="str">
        <f>$P$1</f>
        <v>Weston</v>
      </c>
      <c r="F63" s="220">
        <f>IFERROR(AVERAGE(Rankings!$K63:$R63), "TBD")</f>
        <v>2.571428571</v>
      </c>
      <c r="G63" s="220">
        <f>IFERROR(_xlfn.STDEV.P(Rankings!$K63:$R63), "TBD")</f>
        <v>1.916629695</v>
      </c>
      <c r="H63" s="221">
        <f>IFERROR(AVERAGE(Rankings!$K63:$O63, Rankings!$R63), "TBD")</f>
        <v>2.666666667</v>
      </c>
      <c r="I63" s="222" t="s">
        <v>362</v>
      </c>
      <c r="J63" s="222" t="s">
        <v>363</v>
      </c>
      <c r="K63" s="143">
        <v>1.0</v>
      </c>
      <c r="L63" s="144">
        <v>2.0</v>
      </c>
      <c r="M63" s="144">
        <v>6.0</v>
      </c>
      <c r="N63" s="144">
        <v>5.0</v>
      </c>
      <c r="O63" s="144">
        <v>1.0</v>
      </c>
      <c r="P63" s="144">
        <v>2.0</v>
      </c>
      <c r="Q63" s="122"/>
      <c r="R63" s="223">
        <v>1.0</v>
      </c>
      <c r="S63" s="147">
        <f>IF(SUM(Rankings!$K63:$R63)&gt;0, COUNTIFS(Rankings!$D$2:$D$987, Rankings!$D63, Rankings!$F$2:$F$987, "&lt;"&amp;Rankings!$F63) + COUNTIFS(Rankings!$D$2:$D$987, Rankings!$D63, Rankings!$F$2:$F$987, Rankings!$F63, Rankings!$G$2:$G$987, "&lt;"&amp;Rankings!$G63)+1, "TBD")</f>
        <v>1</v>
      </c>
      <c r="T63" s="225">
        <v>1.0</v>
      </c>
      <c r="U63" s="225" t="b">
        <f>Rankings!$S63=Rankings!$T63</f>
        <v>1</v>
      </c>
      <c r="V63" s="226"/>
      <c r="W63" s="153"/>
    </row>
    <row r="64" ht="15.75" customHeight="1">
      <c r="A64" s="189"/>
      <c r="B64" s="189"/>
      <c r="C64" s="189"/>
      <c r="D64" s="235">
        <f t="shared" si="9"/>
        <v>45926</v>
      </c>
      <c r="E64" s="237" t="str">
        <f>$R$1</f>
        <v>Jake</v>
      </c>
      <c r="F64" s="240">
        <f>IFERROR(AVERAGE(Rankings!$K64:$R64), "TBD")</f>
        <v>3.571428571</v>
      </c>
      <c r="G64" s="240">
        <f>IFERROR(_xlfn.STDEV.P(Rankings!$K64:$R64), "TBD")</f>
        <v>1.840585532</v>
      </c>
      <c r="H64" s="242">
        <f>IFERROR(AVERAGE(Rankings!$K64:$P64), "TBD")</f>
        <v>3.833333333</v>
      </c>
      <c r="I64" s="243" t="s">
        <v>364</v>
      </c>
      <c r="J64" s="243" t="s">
        <v>365</v>
      </c>
      <c r="K64" s="199">
        <v>7.0</v>
      </c>
      <c r="L64" s="201">
        <v>1.0</v>
      </c>
      <c r="M64" s="201">
        <v>3.0</v>
      </c>
      <c r="N64" s="201">
        <v>4.0</v>
      </c>
      <c r="O64" s="201">
        <v>5.0</v>
      </c>
      <c r="P64" s="201">
        <v>3.0</v>
      </c>
      <c r="Q64" s="122"/>
      <c r="R64" s="244">
        <v>2.0</v>
      </c>
      <c r="S64" s="203">
        <f>IF(SUM(Rankings!$K64:$R64)&gt;0, COUNTIFS(Rankings!$D$2:$D$987, Rankings!$D64, Rankings!$F$2:$F$987, "&lt;"&amp;Rankings!$F64) + COUNTIFS(Rankings!$D$2:$D$987, Rankings!$D64, Rankings!$F$2:$F$987, Rankings!$F64, Rankings!$G$2:$G$987, "&lt;"&amp;Rankings!$G64)+1, "TBD")</f>
        <v>3</v>
      </c>
      <c r="T64" s="247">
        <v>1.0</v>
      </c>
      <c r="U64" s="247" t="b">
        <f>Rankings!$S64=Rankings!$T64</f>
        <v>0</v>
      </c>
      <c r="V64" s="248"/>
      <c r="W64" s="208"/>
    </row>
    <row r="65" ht="15.75" customHeight="1">
      <c r="A65" s="103">
        <v>45929.0</v>
      </c>
      <c r="B65" s="104"/>
      <c r="C65" s="104" t="str">
        <f t="array" ref="C65">INDEX(Rankings!$E65:$E71, MATCH(1, (Rankings!$D65:$D71=$A65)*(Rankings!$U65:$U71=TRUE()), 0))</f>
        <v>Weston</v>
      </c>
      <c r="D65" s="111">
        <f>A65</f>
        <v>45929</v>
      </c>
      <c r="E65" s="113" t="str">
        <f>$K$1</f>
        <v>Logan</v>
      </c>
      <c r="F65" s="115">
        <f>IFERROR(AVERAGE(Rankings!$K65:$R65), "TBD")</f>
        <v>3.571428571</v>
      </c>
      <c r="G65" s="115">
        <f>IFERROR(_xlfn.STDEV.P(Rankings!$K65:$R65), "TBD")</f>
        <v>2.55550626</v>
      </c>
      <c r="H65" s="117">
        <f>IFERROR(AVERAGE(Rankings!$L65:$R65), "TBD")</f>
        <v>4</v>
      </c>
      <c r="I65" s="119" t="s">
        <v>383</v>
      </c>
      <c r="J65" s="119" t="s">
        <v>384</v>
      </c>
      <c r="K65" s="120">
        <v>1.0</v>
      </c>
      <c r="L65" s="121">
        <v>5.0</v>
      </c>
      <c r="M65" s="121">
        <v>7.0</v>
      </c>
      <c r="N65" s="121">
        <v>7.0</v>
      </c>
      <c r="O65" s="121">
        <v>1.0</v>
      </c>
      <c r="P65" s="121">
        <v>3.0</v>
      </c>
      <c r="Q65" s="122"/>
      <c r="R65" s="216">
        <v>1.0</v>
      </c>
      <c r="S65" s="126">
        <f>IF(SUM(Rankings!$K65:$R65)&gt;0, COUNTIFS(Rankings!$D$2:$D$987, Rankings!$D65, Rankings!$F$2:$F$987, "&lt;"&amp;Rankings!$F65) + COUNTIFS(Rankings!$D$2:$D$987, Rankings!$D65, Rankings!$F$2:$F$987, Rankings!$F65, Rankings!$G$2:$G$987, "&lt;"&amp;Rankings!$G65)+1, "TBD")</f>
        <v>3</v>
      </c>
      <c r="T65" s="217">
        <v>1.0</v>
      </c>
      <c r="U65" s="217" t="b">
        <f>Rankings!$S65=Rankings!$T65</f>
        <v>0</v>
      </c>
      <c r="V65" s="259"/>
      <c r="W65" s="259" t="s">
        <v>386</v>
      </c>
    </row>
    <row r="66" ht="15.75" customHeight="1">
      <c r="A66" s="134"/>
      <c r="B66" s="134"/>
      <c r="C66" s="134"/>
      <c r="D66" s="219">
        <f>D65</f>
        <v>45929</v>
      </c>
      <c r="E66" s="138" t="str">
        <f>$L$1</f>
        <v>Parker</v>
      </c>
      <c r="F66" s="220">
        <f>IFERROR(AVERAGE(Rankings!$K66:$R66), "TBD")</f>
        <v>3.714285714</v>
      </c>
      <c r="G66" s="220">
        <f>IFERROR(_xlfn.STDEV.P(Rankings!$K66:$R66), "TBD")</f>
        <v>1.979486637</v>
      </c>
      <c r="H66" s="221">
        <f>IFERROR(AVERAGE(Rankings!$K66, Rankings!$M66:$R66), "TBD")</f>
        <v>4.166666667</v>
      </c>
      <c r="I66" s="222" t="s">
        <v>387</v>
      </c>
      <c r="J66" s="222" t="s">
        <v>388</v>
      </c>
      <c r="K66" s="143">
        <v>3.0</v>
      </c>
      <c r="L66" s="144">
        <v>1.0</v>
      </c>
      <c r="M66" s="144">
        <v>6.0</v>
      </c>
      <c r="N66" s="144">
        <v>2.0</v>
      </c>
      <c r="O66" s="144">
        <v>4.0</v>
      </c>
      <c r="P66" s="144">
        <v>7.0</v>
      </c>
      <c r="Q66" s="122"/>
      <c r="R66" s="223">
        <v>3.0</v>
      </c>
      <c r="S66" s="147">
        <f>IF(SUM(Rankings!$K66:$R66)&gt;0, COUNTIFS(Rankings!$D$2:$D$987, Rankings!$D66, Rankings!$F$2:$F$987, "&lt;"&amp;Rankings!$F66) + COUNTIFS(Rankings!$D$2:$D$987, Rankings!$D66, Rankings!$F$2:$F$987, Rankings!$F66, Rankings!$G$2:$G$987, "&lt;"&amp;Rankings!$G66)+1, "TBD")</f>
        <v>4</v>
      </c>
      <c r="T66" s="225">
        <v>1.0</v>
      </c>
      <c r="U66" s="225" t="b">
        <f>Rankings!$S66=Rankings!$T66</f>
        <v>0</v>
      </c>
      <c r="V66" s="260"/>
      <c r="W66" s="153"/>
    </row>
    <row r="67" ht="15.75" customHeight="1">
      <c r="A67" s="134"/>
      <c r="B67" s="134"/>
      <c r="C67" s="134"/>
      <c r="D67" s="219">
        <f>D65</f>
        <v>45929</v>
      </c>
      <c r="E67" s="227" t="str">
        <f>$M$1</f>
        <v>Giacomo</v>
      </c>
      <c r="F67" s="220">
        <f>IFERROR(AVERAGE(Rankings!$K67:$R67), "TBD")</f>
        <v>3.714285714</v>
      </c>
      <c r="G67" s="220">
        <f>IFERROR(_xlfn.STDEV.P(Rankings!$K67:$R67), "TBD")</f>
        <v>2.050385728</v>
      </c>
      <c r="H67" s="221">
        <f>IFERROR(AVERAGE(Rankings!$K67:$L67, Rankings!$N67:$R67), "TBD")</f>
        <v>4</v>
      </c>
      <c r="I67" s="222" t="s">
        <v>391</v>
      </c>
      <c r="J67" s="222" t="s">
        <v>392</v>
      </c>
      <c r="K67" s="143">
        <v>2.0</v>
      </c>
      <c r="L67" s="144">
        <v>4.0</v>
      </c>
      <c r="M67" s="144">
        <v>2.0</v>
      </c>
      <c r="N67" s="144">
        <v>4.0</v>
      </c>
      <c r="O67" s="144">
        <v>7.0</v>
      </c>
      <c r="P67" s="144">
        <v>1.0</v>
      </c>
      <c r="Q67" s="122"/>
      <c r="R67" s="223">
        <v>6.0</v>
      </c>
      <c r="S67" s="147">
        <f>IF(SUM(Rankings!$K67:$R67)&gt;0, COUNTIFS(Rankings!$D$2:$D$987, Rankings!$D67, Rankings!$F$2:$F$987, "&lt;"&amp;Rankings!$F67) + COUNTIFS(Rankings!$D$2:$D$987, Rankings!$D67, Rankings!$F$2:$F$987, Rankings!$F67, Rankings!$G$2:$G$987, "&lt;"&amp;Rankings!$G67)+1, "TBD")</f>
        <v>5</v>
      </c>
      <c r="T67" s="225">
        <v>1.0</v>
      </c>
      <c r="U67" s="225" t="b">
        <f>Rankings!$S67=Rankings!$T67</f>
        <v>0</v>
      </c>
      <c r="V67" s="260"/>
      <c r="W67" s="153"/>
    </row>
    <row r="68" ht="15.75" customHeight="1">
      <c r="A68" s="134"/>
      <c r="B68" s="134"/>
      <c r="C68" s="134"/>
      <c r="D68" s="219">
        <f>D65</f>
        <v>45929</v>
      </c>
      <c r="E68" s="227" t="str">
        <f>$N$1</f>
        <v>Rosey</v>
      </c>
      <c r="F68" s="220">
        <f>IFERROR(AVERAGE(Rankings!$K68:$R68), "TBD")</f>
        <v>3.428571429</v>
      </c>
      <c r="G68" s="220">
        <f>IFERROR(_xlfn.STDEV.P(Rankings!$K68:$R68), "TBD")</f>
        <v>1.761261144</v>
      </c>
      <c r="H68" s="221">
        <f>IFERROR(AVERAGE(Rankings!$K68:$M68, Rankings!$O68:$R68), "TBD")</f>
        <v>3.833333333</v>
      </c>
      <c r="I68" s="222" t="s">
        <v>396</v>
      </c>
      <c r="J68" s="222" t="s">
        <v>397</v>
      </c>
      <c r="K68" s="143">
        <v>4.0</v>
      </c>
      <c r="L68" s="144">
        <v>3.0</v>
      </c>
      <c r="M68" s="144">
        <v>1.0</v>
      </c>
      <c r="N68" s="144">
        <v>1.0</v>
      </c>
      <c r="O68" s="144">
        <v>6.0</v>
      </c>
      <c r="P68" s="144">
        <v>4.0</v>
      </c>
      <c r="Q68" s="122"/>
      <c r="R68" s="223">
        <v>5.0</v>
      </c>
      <c r="S68" s="147">
        <f>IF(SUM(Rankings!$K68:$R68)&gt;0, COUNTIFS(Rankings!$D$2:$D$987, Rankings!$D68, Rankings!$F$2:$F$987, "&lt;"&amp;Rankings!$F68) + COUNTIFS(Rankings!$D$2:$D$987, Rankings!$D68, Rankings!$F$2:$F$987, Rankings!$F68, Rankings!$G$2:$G$987, "&lt;"&amp;Rankings!$G68)+1, "TBD")</f>
        <v>2</v>
      </c>
      <c r="T68" s="225">
        <v>1.0</v>
      </c>
      <c r="U68" s="225" t="b">
        <f>Rankings!$S68=Rankings!$T68</f>
        <v>0</v>
      </c>
      <c r="V68" s="260"/>
      <c r="W68" s="153"/>
    </row>
    <row r="69" ht="15.75" customHeight="1">
      <c r="A69" s="134"/>
      <c r="B69" s="134"/>
      <c r="C69" s="134"/>
      <c r="D69" s="219">
        <f t="shared" ref="D69:D71" si="10">D65</f>
        <v>45929</v>
      </c>
      <c r="E69" s="227" t="str">
        <f>$O$1</f>
        <v>TTAC</v>
      </c>
      <c r="F69" s="220">
        <f>IFERROR(AVERAGE(Rankings!$K69:$R69), "TBD")</f>
        <v>5.285714286</v>
      </c>
      <c r="G69" s="220">
        <f>IFERROR(_xlfn.STDEV.P(Rankings!$K69:$R69), "TBD")</f>
        <v>1.385051388</v>
      </c>
      <c r="H69" s="221">
        <f>IFERROR(AVERAGE(Rankings!$K69:$N69, Rankings!$P69:$R69), "TBD")</f>
        <v>5.666666667</v>
      </c>
      <c r="I69" s="222" t="s">
        <v>405</v>
      </c>
      <c r="J69" s="222" t="s">
        <v>406</v>
      </c>
      <c r="K69" s="143">
        <v>7.0</v>
      </c>
      <c r="L69" s="144">
        <v>6.0</v>
      </c>
      <c r="M69" s="144">
        <v>4.0</v>
      </c>
      <c r="N69" s="144">
        <v>5.0</v>
      </c>
      <c r="O69" s="144">
        <v>3.0</v>
      </c>
      <c r="P69" s="144">
        <v>5.0</v>
      </c>
      <c r="Q69" s="122"/>
      <c r="R69" s="223">
        <v>7.0</v>
      </c>
      <c r="S69" s="147">
        <f>IF(SUM(Rankings!$K69:$R69)&gt;0, COUNTIFS(Rankings!$D$2:$D$987, Rankings!$D69, Rankings!$F$2:$F$987, "&lt;"&amp;Rankings!$F69) + COUNTIFS(Rankings!$D$2:$D$987, Rankings!$D69, Rankings!$F$2:$F$987, Rankings!$F69, Rankings!$G$2:$G$987, "&lt;"&amp;Rankings!$G69)+1, "TBD")</f>
        <v>7</v>
      </c>
      <c r="T69" s="225">
        <v>1.0</v>
      </c>
      <c r="U69" s="225" t="b">
        <f>Rankings!$S69=Rankings!$T69</f>
        <v>0</v>
      </c>
      <c r="V69" s="260"/>
      <c r="W69" s="153"/>
    </row>
    <row r="70" ht="15.75" customHeight="1">
      <c r="A70" s="134"/>
      <c r="B70" s="134"/>
      <c r="C70" s="134"/>
      <c r="D70" s="219">
        <f t="shared" si="10"/>
        <v>45929</v>
      </c>
      <c r="E70" s="227" t="str">
        <f>$P$1</f>
        <v>Weston</v>
      </c>
      <c r="F70" s="220">
        <f>IFERROR(AVERAGE(Rankings!$K70:$R70), "TBD")</f>
        <v>3.428571429</v>
      </c>
      <c r="G70" s="220">
        <f>IFERROR(_xlfn.STDEV.P(Rankings!$K70:$R70), "TBD")</f>
        <v>1.498298355</v>
      </c>
      <c r="H70" s="221">
        <f>IFERROR(AVERAGE(Rankings!$K70:$O70, Rankings!$R70), "TBD")</f>
        <v>3.666666667</v>
      </c>
      <c r="I70" s="222" t="s">
        <v>416</v>
      </c>
      <c r="J70" s="222" t="s">
        <v>417</v>
      </c>
      <c r="K70" s="143">
        <v>6.0</v>
      </c>
      <c r="L70" s="144">
        <v>2.0</v>
      </c>
      <c r="M70" s="144">
        <v>5.0</v>
      </c>
      <c r="N70" s="144">
        <v>3.0</v>
      </c>
      <c r="O70" s="144">
        <v>2.0</v>
      </c>
      <c r="P70" s="144">
        <v>2.0</v>
      </c>
      <c r="Q70" s="122"/>
      <c r="R70" s="223">
        <v>4.0</v>
      </c>
      <c r="S70" s="147">
        <f>IF(SUM(Rankings!$K70:$R70)&gt;0, COUNTIFS(Rankings!$D$2:$D$987, Rankings!$D70, Rankings!$F$2:$F$987, "&lt;"&amp;Rankings!$F70) + COUNTIFS(Rankings!$D$2:$D$987, Rankings!$D70, Rankings!$F$2:$F$987, Rankings!$F70, Rankings!$G$2:$G$987, "&lt;"&amp;Rankings!$G70)+1, "TBD")</f>
        <v>1</v>
      </c>
      <c r="T70" s="225">
        <v>1.0</v>
      </c>
      <c r="U70" s="225" t="b">
        <f>Rankings!$S70=Rankings!$T70</f>
        <v>1</v>
      </c>
      <c r="V70" s="260"/>
      <c r="W70" s="153"/>
    </row>
    <row r="71" ht="15.75" customHeight="1">
      <c r="A71" s="189"/>
      <c r="B71" s="189"/>
      <c r="C71" s="189"/>
      <c r="D71" s="235">
        <f t="shared" si="10"/>
        <v>45929</v>
      </c>
      <c r="E71" s="237" t="str">
        <f>$R$1</f>
        <v>Jake</v>
      </c>
      <c r="F71" s="240">
        <f>IFERROR(AVERAGE(Rankings!$K71:$R71), "TBD")</f>
        <v>4.857142857</v>
      </c>
      <c r="G71" s="240">
        <f>IFERROR(_xlfn.STDEV.P(Rankings!$K71:$R71), "TBD")</f>
        <v>1.641303613</v>
      </c>
      <c r="H71" s="242">
        <f>IFERROR(AVERAGE(Rankings!$K71:$P71), "TBD")</f>
        <v>5.333333333</v>
      </c>
      <c r="I71" s="243" t="s">
        <v>421</v>
      </c>
      <c r="J71" s="243" t="s">
        <v>422</v>
      </c>
      <c r="K71" s="199">
        <v>5.0</v>
      </c>
      <c r="L71" s="201">
        <v>7.0</v>
      </c>
      <c r="M71" s="201">
        <v>3.0</v>
      </c>
      <c r="N71" s="201">
        <v>6.0</v>
      </c>
      <c r="O71" s="201">
        <v>5.0</v>
      </c>
      <c r="P71" s="201">
        <v>6.0</v>
      </c>
      <c r="Q71" s="122"/>
      <c r="R71" s="244">
        <v>2.0</v>
      </c>
      <c r="S71" s="203">
        <f>IF(SUM(Rankings!$K71:$R71)&gt;0, COUNTIFS(Rankings!$D$2:$D$987, Rankings!$D71, Rankings!$F$2:$F$987, "&lt;"&amp;Rankings!$F71) + COUNTIFS(Rankings!$D$2:$D$987, Rankings!$D71, Rankings!$F$2:$F$987, Rankings!$F71, Rankings!$G$2:$G$987, "&lt;"&amp;Rankings!$G71)+1, "TBD")</f>
        <v>6</v>
      </c>
      <c r="T71" s="247">
        <v>1.0</v>
      </c>
      <c r="U71" s="247" t="b">
        <f>Rankings!$S71=Rankings!$T71</f>
        <v>0</v>
      </c>
      <c r="V71" s="261"/>
      <c r="W71" s="208"/>
    </row>
    <row r="72" ht="15.75" customHeight="1">
      <c r="A72" s="103">
        <v>45931.0</v>
      </c>
      <c r="B72" s="104"/>
      <c r="C72" s="104" t="str">
        <f t="array" ref="C72">INDEX(Rankings!$E72:$E78, MATCH(1, (Rankings!$D72:$D78=$A72)*(Rankings!$U72:$U78=TRUE()), 0))</f>
        <v>Rosey</v>
      </c>
      <c r="D72" s="111">
        <f>A72</f>
        <v>45931</v>
      </c>
      <c r="E72" s="113" t="str">
        <f>$K$1</f>
        <v>Logan</v>
      </c>
      <c r="F72" s="115">
        <f>IFERROR(AVERAGE(Rankings!$K72:$R72), "TBD")</f>
        <v>3</v>
      </c>
      <c r="G72" s="115">
        <f>IFERROR(_xlfn.STDEV.P(Rankings!$K72:$R72), "TBD")</f>
        <v>2.070196678</v>
      </c>
      <c r="H72" s="117">
        <f>IFERROR(AVERAGE(Rankings!$L72:$R72), "TBD")</f>
        <v>3.333333333</v>
      </c>
      <c r="I72" s="119" t="s">
        <v>423</v>
      </c>
      <c r="J72" s="119" t="s">
        <v>424</v>
      </c>
      <c r="K72" s="120">
        <v>1.0</v>
      </c>
      <c r="L72" s="121">
        <v>1.0</v>
      </c>
      <c r="M72" s="121">
        <v>5.0</v>
      </c>
      <c r="N72" s="121">
        <v>2.0</v>
      </c>
      <c r="O72" s="121">
        <v>6.0</v>
      </c>
      <c r="P72" s="121">
        <v>5.0</v>
      </c>
      <c r="Q72" s="122"/>
      <c r="R72" s="216">
        <v>1.0</v>
      </c>
      <c r="S72" s="126">
        <f>IF(SUM(Rankings!$K72:$R72)&gt;0, COUNTIFS(Rankings!$D$2:$D$987, Rankings!$D72, Rankings!$F$2:$F$987, "&lt;"&amp;Rankings!$F72) + COUNTIFS(Rankings!$D$2:$D$987, Rankings!$D72, Rankings!$F$2:$F$987, Rankings!$F72, Rankings!$G$2:$G$987, "&lt;"&amp;Rankings!$G72)+1, "TBD")</f>
        <v>2</v>
      </c>
      <c r="T72" s="217">
        <v>1.0</v>
      </c>
      <c r="U72" s="217" t="b">
        <f>Rankings!$S72=Rankings!$T72</f>
        <v>0</v>
      </c>
      <c r="V72" s="133"/>
      <c r="W72" s="133"/>
    </row>
    <row r="73" ht="15.75" customHeight="1">
      <c r="A73" s="134"/>
      <c r="B73" s="134"/>
      <c r="C73" s="134"/>
      <c r="D73" s="219">
        <f>D72</f>
        <v>45931</v>
      </c>
      <c r="E73" s="138" t="str">
        <f>$L$1</f>
        <v>Parker</v>
      </c>
      <c r="F73" s="220">
        <f>IFERROR(AVERAGE(Rankings!$K73:$R73), "TBD")</f>
        <v>3.857142857</v>
      </c>
      <c r="G73" s="220">
        <f>IFERROR(_xlfn.STDEV.P(Rankings!$K73:$R73), "TBD")</f>
        <v>1.551825784</v>
      </c>
      <c r="H73" s="221">
        <f>IFERROR(AVERAGE(Rankings!$K73, Rankings!$M73:$R73), "TBD")</f>
        <v>4.166666667</v>
      </c>
      <c r="I73" s="222" t="s">
        <v>427</v>
      </c>
      <c r="J73" s="222" t="s">
        <v>428</v>
      </c>
      <c r="K73" s="143">
        <v>2.0</v>
      </c>
      <c r="L73" s="144">
        <v>2.0</v>
      </c>
      <c r="M73" s="144">
        <v>4.0</v>
      </c>
      <c r="N73" s="144">
        <v>4.0</v>
      </c>
      <c r="O73" s="144">
        <v>3.0</v>
      </c>
      <c r="P73" s="144">
        <v>6.0</v>
      </c>
      <c r="Q73" s="122"/>
      <c r="R73" s="223">
        <v>6.0</v>
      </c>
      <c r="S73" s="147">
        <f>IF(SUM(Rankings!$K73:$R73)&gt;0, COUNTIFS(Rankings!$D$2:$D$987, Rankings!$D73, Rankings!$F$2:$F$987, "&lt;"&amp;Rankings!$F73) + COUNTIFS(Rankings!$D$2:$D$987, Rankings!$D73, Rankings!$F$2:$F$987, Rankings!$F73, Rankings!$G$2:$G$987, "&lt;"&amp;Rankings!$G73)+1, "TBD")</f>
        <v>4</v>
      </c>
      <c r="T73" s="225">
        <v>1.0</v>
      </c>
      <c r="U73" s="225" t="b">
        <f>Rankings!$S73=Rankings!$T73</f>
        <v>0</v>
      </c>
      <c r="V73" s="226"/>
      <c r="W73" s="153"/>
    </row>
    <row r="74" ht="15.75" customHeight="1">
      <c r="A74" s="134"/>
      <c r="B74" s="134"/>
      <c r="C74" s="134"/>
      <c r="D74" s="219">
        <f>D72</f>
        <v>45931</v>
      </c>
      <c r="E74" s="227" t="str">
        <f>$M$1</f>
        <v>Giacomo</v>
      </c>
      <c r="F74" s="220">
        <f>IFERROR(AVERAGE(Rankings!$K74:$R74), "TBD")</f>
        <v>5.142857143</v>
      </c>
      <c r="G74" s="220">
        <f>IFERROR(_xlfn.STDEV.P(Rankings!$K74:$R74), "TBD")</f>
        <v>2.099562637</v>
      </c>
      <c r="H74" s="221">
        <f>IFERROR(AVERAGE(Rankings!$K74:$L74, Rankings!$N74:$R74), "TBD")</f>
        <v>5.833333333</v>
      </c>
      <c r="I74" s="222" t="s">
        <v>431</v>
      </c>
      <c r="J74" s="222" t="s">
        <v>432</v>
      </c>
      <c r="K74" s="143">
        <v>7.0</v>
      </c>
      <c r="L74" s="144">
        <v>6.0</v>
      </c>
      <c r="M74" s="144">
        <v>1.0</v>
      </c>
      <c r="N74" s="144">
        <v>7.0</v>
      </c>
      <c r="O74" s="144">
        <v>4.0</v>
      </c>
      <c r="P74" s="144">
        <v>4.0</v>
      </c>
      <c r="Q74" s="122"/>
      <c r="R74" s="223">
        <v>7.0</v>
      </c>
      <c r="S74" s="147">
        <f>IF(SUM(Rankings!$K74:$R74)&gt;0, COUNTIFS(Rankings!$D$2:$D$987, Rankings!$D74, Rankings!$F$2:$F$987, "&lt;"&amp;Rankings!$F74) + COUNTIFS(Rankings!$D$2:$D$987, Rankings!$D74, Rankings!$F$2:$F$987, Rankings!$F74, Rankings!$G$2:$G$987, "&lt;"&amp;Rankings!$G74)+1, "TBD")</f>
        <v>6</v>
      </c>
      <c r="T74" s="225">
        <v>1.0</v>
      </c>
      <c r="U74" s="225" t="b">
        <f>Rankings!$S74=Rankings!$T74</f>
        <v>0</v>
      </c>
      <c r="V74" s="226"/>
      <c r="W74" s="153"/>
    </row>
    <row r="75" ht="15.75" customHeight="1">
      <c r="A75" s="134"/>
      <c r="B75" s="134"/>
      <c r="C75" s="134"/>
      <c r="D75" s="219">
        <f>D72</f>
        <v>45931</v>
      </c>
      <c r="E75" s="227" t="str">
        <f>$N$1</f>
        <v>Rosey</v>
      </c>
      <c r="F75" s="220">
        <f>IFERROR(AVERAGE(Rankings!$K75:$R75), "TBD")</f>
        <v>2.714285714</v>
      </c>
      <c r="G75" s="220">
        <f>IFERROR(_xlfn.STDEV.P(Rankings!$K75:$R75), "TBD")</f>
        <v>1.385051388</v>
      </c>
      <c r="H75" s="221">
        <f>IFERROR(AVERAGE(Rankings!$K75:$M75, Rankings!$O75:$R75), "TBD")</f>
        <v>3</v>
      </c>
      <c r="I75" s="222" t="s">
        <v>436</v>
      </c>
      <c r="J75" s="222" t="s">
        <v>437</v>
      </c>
      <c r="K75" s="143">
        <v>3.0</v>
      </c>
      <c r="L75" s="144">
        <v>4.0</v>
      </c>
      <c r="M75" s="144">
        <v>2.0</v>
      </c>
      <c r="N75" s="144">
        <v>1.0</v>
      </c>
      <c r="O75" s="144">
        <v>1.0</v>
      </c>
      <c r="P75" s="144">
        <v>3.0</v>
      </c>
      <c r="Q75" s="122"/>
      <c r="R75" s="223">
        <v>5.0</v>
      </c>
      <c r="S75" s="147">
        <f>IF(SUM(Rankings!$K75:$R75)&gt;0, COUNTIFS(Rankings!$D$2:$D$987, Rankings!$D75, Rankings!$F$2:$F$987, "&lt;"&amp;Rankings!$F75) + COUNTIFS(Rankings!$D$2:$D$987, Rankings!$D75, Rankings!$F$2:$F$987, Rankings!$F75, Rankings!$G$2:$G$987, "&lt;"&amp;Rankings!$G75)+1, "TBD")</f>
        <v>1</v>
      </c>
      <c r="T75" s="225">
        <v>1.0</v>
      </c>
      <c r="U75" s="225" t="b">
        <f>Rankings!$S75=Rankings!$T75</f>
        <v>1</v>
      </c>
      <c r="V75" s="226"/>
      <c r="W75" s="153"/>
    </row>
    <row r="76" ht="15.75" customHeight="1">
      <c r="A76" s="134"/>
      <c r="B76" s="134"/>
      <c r="C76" s="134"/>
      <c r="D76" s="219">
        <f t="shared" ref="D76:D78" si="11">D72</f>
        <v>45931</v>
      </c>
      <c r="E76" s="227" t="str">
        <f>$O$1</f>
        <v>TTAC</v>
      </c>
      <c r="F76" s="220">
        <f>IFERROR(AVERAGE(Rankings!$K76:$R76), "TBD")</f>
        <v>5.285714286</v>
      </c>
      <c r="G76" s="220">
        <f>IFERROR(_xlfn.STDEV.P(Rankings!$K76:$R76), "TBD")</f>
        <v>1.749635531</v>
      </c>
      <c r="H76" s="221">
        <f>IFERROR(AVERAGE(Rankings!$K76:$N76, Rankings!$P76:$R76), "TBD")</f>
        <v>5.333333333</v>
      </c>
      <c r="I76" s="222" t="s">
        <v>441</v>
      </c>
      <c r="J76" s="222" t="s">
        <v>442</v>
      </c>
      <c r="K76" s="143">
        <v>4.0</v>
      </c>
      <c r="L76" s="144">
        <v>7.0</v>
      </c>
      <c r="M76" s="144">
        <v>7.0</v>
      </c>
      <c r="N76" s="144">
        <v>5.0</v>
      </c>
      <c r="O76" s="144">
        <v>5.0</v>
      </c>
      <c r="P76" s="144">
        <v>7.0</v>
      </c>
      <c r="Q76" s="122"/>
      <c r="R76" s="223">
        <v>2.0</v>
      </c>
      <c r="S76" s="147">
        <f>IF(SUM(Rankings!$K76:$R76)&gt;0, COUNTIFS(Rankings!$D$2:$D$987, Rankings!$D76, Rankings!$F$2:$F$987, "&lt;"&amp;Rankings!$F76) + COUNTIFS(Rankings!$D$2:$D$987, Rankings!$D76, Rankings!$F$2:$F$987, Rankings!$F76, Rankings!$G$2:$G$987, "&lt;"&amp;Rankings!$G76)+1, "TBD")</f>
        <v>7</v>
      </c>
      <c r="T76" s="225">
        <v>1.0</v>
      </c>
      <c r="U76" s="225" t="b">
        <f>Rankings!$S76=Rankings!$T76</f>
        <v>0</v>
      </c>
      <c r="V76" s="226"/>
      <c r="W76" s="153"/>
    </row>
    <row r="77" ht="15.75" customHeight="1">
      <c r="A77" s="134"/>
      <c r="B77" s="134"/>
      <c r="C77" s="134"/>
      <c r="D77" s="219">
        <f t="shared" si="11"/>
        <v>45931</v>
      </c>
      <c r="E77" s="227" t="str">
        <f>$P$1</f>
        <v>Weston</v>
      </c>
      <c r="F77" s="220">
        <f>IFERROR(AVERAGE(Rankings!$K77:$R77), "TBD")</f>
        <v>4.285714286</v>
      </c>
      <c r="G77" s="220">
        <f>IFERROR(_xlfn.STDEV.P(Rankings!$K77:$R77), "TBD")</f>
        <v>1.905952009</v>
      </c>
      <c r="H77" s="221">
        <f>IFERROR(AVERAGE(Rankings!$K77:$O77, Rankings!$R77), "TBD")</f>
        <v>4.833333333</v>
      </c>
      <c r="I77" s="222" t="s">
        <v>445</v>
      </c>
      <c r="J77" s="222" t="s">
        <v>446</v>
      </c>
      <c r="K77" s="143">
        <v>6.0</v>
      </c>
      <c r="L77" s="144">
        <v>5.0</v>
      </c>
      <c r="M77" s="144">
        <v>6.0</v>
      </c>
      <c r="N77" s="144">
        <v>6.0</v>
      </c>
      <c r="O77" s="144">
        <v>2.0</v>
      </c>
      <c r="P77" s="144">
        <v>1.0</v>
      </c>
      <c r="Q77" s="122"/>
      <c r="R77" s="223">
        <v>4.0</v>
      </c>
      <c r="S77" s="147">
        <f>IF(SUM(Rankings!$K77:$R77)&gt;0, COUNTIFS(Rankings!$D$2:$D$987, Rankings!$D77, Rankings!$F$2:$F$987, "&lt;"&amp;Rankings!$F77) + COUNTIFS(Rankings!$D$2:$D$987, Rankings!$D77, Rankings!$F$2:$F$987, Rankings!$F77, Rankings!$G$2:$G$987, "&lt;"&amp;Rankings!$G77)+1, "TBD")</f>
        <v>5</v>
      </c>
      <c r="T77" s="225">
        <v>1.0</v>
      </c>
      <c r="U77" s="225" t="b">
        <f>Rankings!$S77=Rankings!$T77</f>
        <v>0</v>
      </c>
      <c r="V77" s="226"/>
      <c r="W77" s="153"/>
    </row>
    <row r="78" ht="15.75" customHeight="1">
      <c r="A78" s="189"/>
      <c r="B78" s="189"/>
      <c r="C78" s="189"/>
      <c r="D78" s="235">
        <f t="shared" si="11"/>
        <v>45931</v>
      </c>
      <c r="E78" s="237" t="str">
        <f>$R$1</f>
        <v>Jake</v>
      </c>
      <c r="F78" s="240">
        <f>IFERROR(AVERAGE(Rankings!$K78:$R78), "TBD")</f>
        <v>3.714285714</v>
      </c>
      <c r="G78" s="240">
        <f>IFERROR(_xlfn.STDEV.P(Rankings!$K78:$R78), "TBD")</f>
        <v>1.577908717</v>
      </c>
      <c r="H78" s="242">
        <f>IFERROR(AVERAGE(Rankings!$K78:$P78), "TBD")</f>
        <v>3.833333333</v>
      </c>
      <c r="I78" s="243" t="s">
        <v>447</v>
      </c>
      <c r="J78" s="243" t="s">
        <v>448</v>
      </c>
      <c r="K78" s="199">
        <v>5.0</v>
      </c>
      <c r="L78" s="201">
        <v>3.0</v>
      </c>
      <c r="M78" s="201">
        <v>3.0</v>
      </c>
      <c r="N78" s="201">
        <v>3.0</v>
      </c>
      <c r="O78" s="201">
        <v>7.0</v>
      </c>
      <c r="P78" s="201">
        <v>2.0</v>
      </c>
      <c r="Q78" s="122"/>
      <c r="R78" s="244">
        <v>3.0</v>
      </c>
      <c r="S78" s="203">
        <f>IF(SUM(Rankings!$K78:$R78)&gt;0, COUNTIFS(Rankings!$D$2:$D$987, Rankings!$D78, Rankings!$F$2:$F$987, "&lt;"&amp;Rankings!$F78) + COUNTIFS(Rankings!$D$2:$D$987, Rankings!$D78, Rankings!$F$2:$F$987, Rankings!$F78, Rankings!$G$2:$G$987, "&lt;"&amp;Rankings!$G78)+1, "TBD")</f>
        <v>3</v>
      </c>
      <c r="T78" s="247">
        <v>1.0</v>
      </c>
      <c r="U78" s="247" t="b">
        <f>Rankings!$S78=Rankings!$T78</f>
        <v>0</v>
      </c>
      <c r="V78" s="248"/>
      <c r="W78" s="208"/>
    </row>
    <row r="79" ht="15.75" customHeight="1">
      <c r="A79" s="103">
        <v>45933.0</v>
      </c>
      <c r="B79" s="104"/>
      <c r="C79" s="104" t="str">
        <f t="array" ref="C79">INDEX(Rankings!$E79:$E85, MATCH(1, (Rankings!$D79:$D85=$A79)*(Rankings!$U79:$U85=TRUE()), 0))</f>
        <v>Rosey</v>
      </c>
      <c r="D79" s="111">
        <f>A79</f>
        <v>45933</v>
      </c>
      <c r="E79" s="113" t="str">
        <f>$K$1</f>
        <v>Logan</v>
      </c>
      <c r="F79" s="115">
        <f>IFERROR(AVERAGE(Rankings!$K79:$R79), "TBD")</f>
        <v>3.428571429</v>
      </c>
      <c r="G79" s="115">
        <f>IFERROR(_xlfn.STDEV.P(Rankings!$K79:$R79), "TBD")</f>
        <v>1.590789818</v>
      </c>
      <c r="H79" s="117">
        <f>IFERROR(AVERAGE(Rankings!$L79:$R79), "TBD")</f>
        <v>3.666666667</v>
      </c>
      <c r="I79" s="119" t="s">
        <v>452</v>
      </c>
      <c r="J79" s="119" t="s">
        <v>453</v>
      </c>
      <c r="K79" s="120">
        <v>2.0</v>
      </c>
      <c r="L79" s="121">
        <v>4.0</v>
      </c>
      <c r="M79" s="121">
        <v>5.0</v>
      </c>
      <c r="N79" s="121">
        <v>3.0</v>
      </c>
      <c r="O79" s="121">
        <v>3.0</v>
      </c>
      <c r="P79" s="121">
        <v>6.0</v>
      </c>
      <c r="Q79" s="122"/>
      <c r="R79" s="216">
        <v>1.0</v>
      </c>
      <c r="S79" s="126">
        <f>IF(SUM(Rankings!$K79:$R79)&gt;0, COUNTIFS(Rankings!$D$2:$D$987, Rankings!$D79, Rankings!$F$2:$F$987, "&lt;"&amp;Rankings!$F79) + COUNTIFS(Rankings!$D$2:$D$987, Rankings!$D79, Rankings!$F$2:$F$987, Rankings!$F79, Rankings!$G$2:$G$987, "&lt;"&amp;Rankings!$G79)+1, "TBD")</f>
        <v>4</v>
      </c>
      <c r="T79" s="217">
        <v>1.0</v>
      </c>
      <c r="U79" s="217" t="b">
        <f>Rankings!$S79=Rankings!$T79</f>
        <v>0</v>
      </c>
      <c r="V79" s="329"/>
      <c r="W79" s="329" t="s">
        <v>457</v>
      </c>
    </row>
    <row r="80" ht="15.75" customHeight="1">
      <c r="A80" s="134"/>
      <c r="B80" s="134"/>
      <c r="C80" s="134"/>
      <c r="D80" s="219">
        <f>D79</f>
        <v>45933</v>
      </c>
      <c r="E80" s="138" t="str">
        <f>$L$1</f>
        <v>Parker</v>
      </c>
      <c r="F80" s="220">
        <f>IFERROR(AVERAGE(Rankings!$K80:$R80), "TBD")</f>
        <v>2.857142857</v>
      </c>
      <c r="G80" s="220">
        <f>IFERROR(_xlfn.STDEV.P(Rankings!$K80:$R80), "TBD")</f>
        <v>1.726149425</v>
      </c>
      <c r="H80" s="221">
        <f>IFERROR(AVERAGE(Rankings!$K80, Rankings!$M80:$R80), "TBD")</f>
        <v>3</v>
      </c>
      <c r="I80" s="222" t="s">
        <v>461</v>
      </c>
      <c r="J80" s="222" t="s">
        <v>462</v>
      </c>
      <c r="K80" s="143">
        <v>4.0</v>
      </c>
      <c r="L80" s="144">
        <v>2.0</v>
      </c>
      <c r="M80" s="144">
        <v>1.0</v>
      </c>
      <c r="N80" s="144">
        <v>4.0</v>
      </c>
      <c r="O80" s="144">
        <v>1.0</v>
      </c>
      <c r="P80" s="144">
        <v>2.0</v>
      </c>
      <c r="Q80" s="122"/>
      <c r="R80" s="223">
        <v>6.0</v>
      </c>
      <c r="S80" s="147">
        <f>IF(SUM(Rankings!$K80:$R80)&gt;0, COUNTIFS(Rankings!$D$2:$D$987, Rankings!$D80, Rankings!$F$2:$F$987, "&lt;"&amp;Rankings!$F80) + COUNTIFS(Rankings!$D$2:$D$987, Rankings!$D80, Rankings!$F$2:$F$987, Rankings!$F80, Rankings!$G$2:$G$987, "&lt;"&amp;Rankings!$G80)+1, "TBD")</f>
        <v>2</v>
      </c>
      <c r="T80" s="225">
        <v>1.0</v>
      </c>
      <c r="U80" s="225" t="b">
        <f>Rankings!$S80=Rankings!$T80</f>
        <v>0</v>
      </c>
      <c r="V80" s="330"/>
      <c r="W80" s="153"/>
    </row>
    <row r="81" ht="15.75" customHeight="1">
      <c r="A81" s="134"/>
      <c r="B81" s="134"/>
      <c r="C81" s="134"/>
      <c r="D81" s="219">
        <f>D79</f>
        <v>45933</v>
      </c>
      <c r="E81" s="227" t="str">
        <f>$M$1</f>
        <v>Giacomo</v>
      </c>
      <c r="F81" s="220">
        <f>IFERROR(AVERAGE(Rankings!$K81:$R81), "TBD")</f>
        <v>3</v>
      </c>
      <c r="G81" s="220">
        <f>IFERROR(_xlfn.STDEV.P(Rankings!$K81:$R81), "TBD")</f>
        <v>1.414213562</v>
      </c>
      <c r="H81" s="221">
        <f>IFERROR(AVERAGE(Rankings!$K81:$L81, Rankings!$N81:$R81), "TBD")</f>
        <v>3.166666667</v>
      </c>
      <c r="I81" s="222" t="s">
        <v>471</v>
      </c>
      <c r="J81" s="222" t="s">
        <v>472</v>
      </c>
      <c r="K81" s="143">
        <v>5.0</v>
      </c>
      <c r="L81" s="144">
        <v>1.0</v>
      </c>
      <c r="M81" s="144">
        <v>2.0</v>
      </c>
      <c r="N81" s="144">
        <v>2.0</v>
      </c>
      <c r="O81" s="144">
        <v>5.0</v>
      </c>
      <c r="P81" s="144">
        <v>3.0</v>
      </c>
      <c r="Q81" s="122"/>
      <c r="R81" s="223">
        <v>3.0</v>
      </c>
      <c r="S81" s="147">
        <f>IF(SUM(Rankings!$K81:$R81)&gt;0, COUNTIFS(Rankings!$D$2:$D$987, Rankings!$D81, Rankings!$F$2:$F$987, "&lt;"&amp;Rankings!$F81) + COUNTIFS(Rankings!$D$2:$D$987, Rankings!$D81, Rankings!$F$2:$F$987, Rankings!$F81, Rankings!$G$2:$G$987, "&lt;"&amp;Rankings!$G81)+1, "TBD")</f>
        <v>3</v>
      </c>
      <c r="T81" s="225">
        <v>1.0</v>
      </c>
      <c r="U81" s="225" t="b">
        <f>Rankings!$S81=Rankings!$T81</f>
        <v>0</v>
      </c>
      <c r="V81" s="330"/>
      <c r="W81" s="153"/>
    </row>
    <row r="82" ht="15.75" customHeight="1">
      <c r="A82" s="134"/>
      <c r="B82" s="134"/>
      <c r="C82" s="134"/>
      <c r="D82" s="219">
        <f>D79</f>
        <v>45933</v>
      </c>
      <c r="E82" s="227" t="str">
        <f>$N$1</f>
        <v>Rosey</v>
      </c>
      <c r="F82" s="220">
        <f>IFERROR(AVERAGE(Rankings!$K82:$R82), "TBD")</f>
        <v>2.571428571</v>
      </c>
      <c r="G82" s="220">
        <f>IFERROR(_xlfn.STDEV.P(Rankings!$K82:$R82), "TBD")</f>
        <v>1.590789818</v>
      </c>
      <c r="H82" s="221">
        <f>IFERROR(AVERAGE(Rankings!$K82:$M82, Rankings!$O82:$R82), "TBD")</f>
        <v>2.833333333</v>
      </c>
      <c r="I82" s="222" t="s">
        <v>45</v>
      </c>
      <c r="J82" s="222" t="s">
        <v>482</v>
      </c>
      <c r="K82" s="143">
        <v>3.0</v>
      </c>
      <c r="L82" s="144">
        <v>3.0</v>
      </c>
      <c r="M82" s="144">
        <v>6.0</v>
      </c>
      <c r="N82" s="144">
        <v>1.0</v>
      </c>
      <c r="O82" s="144">
        <v>2.0</v>
      </c>
      <c r="P82" s="144">
        <v>1.0</v>
      </c>
      <c r="Q82" s="122"/>
      <c r="R82" s="223">
        <v>2.0</v>
      </c>
      <c r="S82" s="147">
        <f>IF(SUM(Rankings!$K82:$R82)&gt;0, COUNTIFS(Rankings!$D$2:$D$987, Rankings!$D82, Rankings!$F$2:$F$987, "&lt;"&amp;Rankings!$F82) + COUNTIFS(Rankings!$D$2:$D$987, Rankings!$D82, Rankings!$F$2:$F$987, Rankings!$F82, Rankings!$G$2:$G$987, "&lt;"&amp;Rankings!$G82)+1, "TBD")</f>
        <v>1</v>
      </c>
      <c r="T82" s="225">
        <v>1.0</v>
      </c>
      <c r="U82" s="225" t="b">
        <f>Rankings!$S82=Rankings!$T82</f>
        <v>1</v>
      </c>
      <c r="V82" s="330"/>
      <c r="W82" s="153"/>
    </row>
    <row r="83" ht="15.75" customHeight="1">
      <c r="A83" s="134"/>
      <c r="B83" s="134"/>
      <c r="C83" s="134"/>
      <c r="D83" s="219">
        <f t="shared" ref="D83:D85" si="12">D79</f>
        <v>45933</v>
      </c>
      <c r="E83" s="227" t="str">
        <f>$O$1</f>
        <v>TTAC</v>
      </c>
      <c r="F83" s="220">
        <f>IFERROR(AVERAGE(Rankings!$K83:$R83), "TBD")</f>
        <v>7</v>
      </c>
      <c r="G83" s="220">
        <f>IFERROR(_xlfn.STDEV.P(Rankings!$K83:$R83), "TBD")</f>
        <v>0</v>
      </c>
      <c r="H83" s="221">
        <f>IFERROR(AVERAGE(Rankings!$K83:$N83, Rankings!$P83:$R83), "TBD")</f>
        <v>7</v>
      </c>
      <c r="I83" s="222" t="s">
        <v>495</v>
      </c>
      <c r="J83" s="222" t="s">
        <v>496</v>
      </c>
      <c r="K83" s="143">
        <v>7.0</v>
      </c>
      <c r="L83" s="144">
        <v>7.0</v>
      </c>
      <c r="M83" s="144">
        <v>7.0</v>
      </c>
      <c r="N83" s="144">
        <v>7.0</v>
      </c>
      <c r="O83" s="144">
        <v>7.0</v>
      </c>
      <c r="P83" s="144">
        <v>7.0</v>
      </c>
      <c r="Q83" s="122"/>
      <c r="R83" s="223">
        <v>7.0</v>
      </c>
      <c r="S83" s="147">
        <f>IF(SUM(Rankings!$K83:$R83)&gt;0, COUNTIFS(Rankings!$D$2:$D$987, Rankings!$D83, Rankings!$F$2:$F$987, "&lt;"&amp;Rankings!$F83) + COUNTIFS(Rankings!$D$2:$D$987, Rankings!$D83, Rankings!$F$2:$F$987, Rankings!$F83, Rankings!$G$2:$G$987, "&lt;"&amp;Rankings!$G83)+1, "TBD")</f>
        <v>7</v>
      </c>
      <c r="T83" s="225">
        <v>1.0</v>
      </c>
      <c r="U83" s="225" t="b">
        <f>Rankings!$S83=Rankings!$T83</f>
        <v>0</v>
      </c>
      <c r="V83" s="330"/>
      <c r="W83" s="153"/>
    </row>
    <row r="84" ht="15.75" customHeight="1">
      <c r="A84" s="134"/>
      <c r="B84" s="134"/>
      <c r="C84" s="134"/>
      <c r="D84" s="219">
        <f t="shared" si="12"/>
        <v>45933</v>
      </c>
      <c r="E84" s="227" t="str">
        <f>$P$1</f>
        <v>Weston</v>
      </c>
      <c r="F84" s="220">
        <f>IFERROR(AVERAGE(Rankings!$K84:$R84), "TBD")</f>
        <v>5</v>
      </c>
      <c r="G84" s="220">
        <f>IFERROR(_xlfn.STDEV.P(Rankings!$K84:$R84), "TBD")</f>
        <v>1.195228609</v>
      </c>
      <c r="H84" s="221">
        <f>IFERROR(AVERAGE(Rankings!$K84:$O84, Rankings!$R84), "TBD")</f>
        <v>5.166666667</v>
      </c>
      <c r="I84" s="222" t="s">
        <v>505</v>
      </c>
      <c r="J84" s="222" t="s">
        <v>506</v>
      </c>
      <c r="K84" s="143">
        <v>6.0</v>
      </c>
      <c r="L84" s="144">
        <v>6.0</v>
      </c>
      <c r="M84" s="144">
        <v>3.0</v>
      </c>
      <c r="N84" s="144">
        <v>6.0</v>
      </c>
      <c r="O84" s="144">
        <v>6.0</v>
      </c>
      <c r="P84" s="144">
        <v>4.0</v>
      </c>
      <c r="Q84" s="122"/>
      <c r="R84" s="223">
        <v>4.0</v>
      </c>
      <c r="S84" s="147">
        <f>IF(SUM(Rankings!$K84:$R84)&gt;0, COUNTIFS(Rankings!$D$2:$D$987, Rankings!$D84, Rankings!$F$2:$F$987, "&lt;"&amp;Rankings!$F84) + COUNTIFS(Rankings!$D$2:$D$987, Rankings!$D84, Rankings!$F$2:$F$987, Rankings!$F84, Rankings!$G$2:$G$987, "&lt;"&amp;Rankings!$G84)+1, "TBD")</f>
        <v>6</v>
      </c>
      <c r="T84" s="225">
        <v>1.0</v>
      </c>
      <c r="U84" s="225" t="b">
        <f>Rankings!$S84=Rankings!$T84</f>
        <v>0</v>
      </c>
      <c r="V84" s="330"/>
      <c r="W84" s="153"/>
    </row>
    <row r="85" ht="15.75" customHeight="1">
      <c r="A85" s="189"/>
      <c r="B85" s="189"/>
      <c r="C85" s="189"/>
      <c r="D85" s="235">
        <f t="shared" si="12"/>
        <v>45933</v>
      </c>
      <c r="E85" s="237" t="str">
        <f>$R$1</f>
        <v>Jake</v>
      </c>
      <c r="F85" s="240">
        <f>IFERROR(AVERAGE(Rankings!$K85:$R85), "TBD")</f>
        <v>4.142857143</v>
      </c>
      <c r="G85" s="240">
        <f>IFERROR(_xlfn.STDEV.P(Rankings!$K85:$R85), "TBD")</f>
        <v>1.355261854</v>
      </c>
      <c r="H85" s="242">
        <f>IFERROR(AVERAGE(Rankings!$K85:$P85), "TBD")</f>
        <v>4</v>
      </c>
      <c r="I85" s="243" t="s">
        <v>509</v>
      </c>
      <c r="J85" s="243" t="s">
        <v>510</v>
      </c>
      <c r="K85" s="199">
        <v>1.0</v>
      </c>
      <c r="L85" s="201">
        <v>5.0</v>
      </c>
      <c r="M85" s="201">
        <v>4.0</v>
      </c>
      <c r="N85" s="201">
        <v>5.0</v>
      </c>
      <c r="O85" s="201">
        <v>4.0</v>
      </c>
      <c r="P85" s="201">
        <v>5.0</v>
      </c>
      <c r="Q85" s="122"/>
      <c r="R85" s="244">
        <v>5.0</v>
      </c>
      <c r="S85" s="203">
        <f>IF(SUM(Rankings!$K85:$R85)&gt;0, COUNTIFS(Rankings!$D$2:$D$987, Rankings!$D85, Rankings!$F$2:$F$987, "&lt;"&amp;Rankings!$F85) + COUNTIFS(Rankings!$D$2:$D$987, Rankings!$D85, Rankings!$F$2:$F$987, Rankings!$F85, Rankings!$G$2:$G$987, "&lt;"&amp;Rankings!$G85)+1, "TBD")</f>
        <v>5</v>
      </c>
      <c r="T85" s="247">
        <v>1.0</v>
      </c>
      <c r="U85" s="247" t="b">
        <f>Rankings!$S85=Rankings!$T85</f>
        <v>0</v>
      </c>
      <c r="V85" s="344"/>
      <c r="W85" s="208"/>
    </row>
    <row r="86" ht="15.75" customHeight="1">
      <c r="A86" s="103">
        <v>45936.0</v>
      </c>
      <c r="B86" s="104"/>
      <c r="C86" s="104" t="str">
        <f t="array" ref="C86">INDEX(Rankings!$E86:$E92, MATCH(1, (Rankings!$D86:$D92=$A86)*(Rankings!$U86:$U92=TRUE()), 0))</f>
        <v>TTAC</v>
      </c>
      <c r="D86" s="111">
        <f>A86</f>
        <v>45936</v>
      </c>
      <c r="E86" s="113" t="str">
        <f>$K$1</f>
        <v>Logan</v>
      </c>
      <c r="F86" s="115">
        <f>IFERROR(AVERAGE(Rankings!$K86:$R86), "TBD")</f>
        <v>5.285714286</v>
      </c>
      <c r="G86" s="115">
        <f>IFERROR(_xlfn.STDEV.P(Rankings!$K86:$R86), "TBD")</f>
        <v>1.749635531</v>
      </c>
      <c r="H86" s="117">
        <f>IFERROR(AVERAGE(Rankings!$L86:$R86), "TBD")</f>
        <v>5.666666667</v>
      </c>
      <c r="I86" s="119" t="s">
        <v>511</v>
      </c>
      <c r="J86" s="119" t="s">
        <v>512</v>
      </c>
      <c r="K86" s="120">
        <v>3.0</v>
      </c>
      <c r="L86" s="121">
        <v>6.0</v>
      </c>
      <c r="M86" s="121">
        <v>7.0</v>
      </c>
      <c r="N86" s="121">
        <v>4.0</v>
      </c>
      <c r="O86" s="121">
        <v>7.0</v>
      </c>
      <c r="P86" s="121">
        <v>7.0</v>
      </c>
      <c r="Q86" s="122"/>
      <c r="R86" s="216">
        <v>3.0</v>
      </c>
      <c r="S86" s="126">
        <f>IF(SUM(Rankings!$K86:$R86)&gt;0, COUNTIFS(Rankings!$D$2:$D$987, Rankings!$D86, Rankings!$F$2:$F$987, "&lt;"&amp;Rankings!$F86) + COUNTIFS(Rankings!$D$2:$D$987, Rankings!$D86, Rankings!$F$2:$F$987, Rankings!$F86, Rankings!$G$2:$G$987, "&lt;"&amp;Rankings!$G86)+1, "TBD")</f>
        <v>6</v>
      </c>
      <c r="T86" s="217">
        <v>1.0</v>
      </c>
      <c r="U86" s="217" t="b">
        <f>Rankings!$S86=Rankings!$T86</f>
        <v>0</v>
      </c>
      <c r="V86" s="133"/>
      <c r="W86" s="133"/>
    </row>
    <row r="87" ht="15.75" customHeight="1">
      <c r="A87" s="134"/>
      <c r="B87" s="134"/>
      <c r="C87" s="134"/>
      <c r="D87" s="219">
        <f>D86</f>
        <v>45936</v>
      </c>
      <c r="E87" s="138" t="str">
        <f>$L$1</f>
        <v>Parker</v>
      </c>
      <c r="F87" s="220">
        <f>IFERROR(AVERAGE(Rankings!$K87:$R87), "TBD")</f>
        <v>5</v>
      </c>
      <c r="G87" s="220">
        <f>IFERROR(_xlfn.STDEV.P(Rankings!$K87:$R87), "TBD")</f>
        <v>1.309307341</v>
      </c>
      <c r="H87" s="221">
        <f>IFERROR(AVERAGE(Rankings!$K87, Rankings!$M87:$R87), "TBD")</f>
        <v>5.333333333</v>
      </c>
      <c r="I87" s="222" t="s">
        <v>513</v>
      </c>
      <c r="J87" s="222" t="s">
        <v>514</v>
      </c>
      <c r="K87" s="143">
        <v>6.0</v>
      </c>
      <c r="L87" s="144">
        <v>3.0</v>
      </c>
      <c r="M87" s="144">
        <v>3.0</v>
      </c>
      <c r="N87" s="144">
        <v>6.0</v>
      </c>
      <c r="O87" s="144">
        <v>6.0</v>
      </c>
      <c r="P87" s="144">
        <v>5.0</v>
      </c>
      <c r="Q87" s="122"/>
      <c r="R87" s="223">
        <v>6.0</v>
      </c>
      <c r="S87" s="147">
        <f>IF(SUM(Rankings!$K87:$R87)&gt;0, COUNTIFS(Rankings!$D$2:$D$987, Rankings!$D87, Rankings!$F$2:$F$987, "&lt;"&amp;Rankings!$F87) + COUNTIFS(Rankings!$D$2:$D$987, Rankings!$D87, Rankings!$F$2:$F$987, Rankings!$F87, Rankings!$G$2:$G$987, "&lt;"&amp;Rankings!$G87)+1, "TBD")</f>
        <v>5</v>
      </c>
      <c r="T87" s="225">
        <v>1.0</v>
      </c>
      <c r="U87" s="225" t="b">
        <f>Rankings!$S87=Rankings!$T87</f>
        <v>0</v>
      </c>
      <c r="V87" s="226"/>
      <c r="W87" s="153"/>
    </row>
    <row r="88" ht="15.75" customHeight="1">
      <c r="A88" s="134"/>
      <c r="B88" s="134"/>
      <c r="C88" s="134"/>
      <c r="D88" s="219">
        <f>D86</f>
        <v>45936</v>
      </c>
      <c r="E88" s="227" t="str">
        <f>$M$1</f>
        <v>Giacomo</v>
      </c>
      <c r="F88" s="220">
        <f>IFERROR(AVERAGE(Rankings!$K88:$R88), "TBD")</f>
        <v>2.142857143</v>
      </c>
      <c r="G88" s="220">
        <f>IFERROR(_xlfn.STDEV.P(Rankings!$K88:$R88), "TBD")</f>
        <v>1.355261854</v>
      </c>
      <c r="H88" s="221">
        <f>IFERROR(AVERAGE(Rankings!$K88:$L88, Rankings!$N88:$R88), "TBD")</f>
        <v>2.333333333</v>
      </c>
      <c r="I88" s="222" t="s">
        <v>516</v>
      </c>
      <c r="J88" s="222" t="s">
        <v>517</v>
      </c>
      <c r="K88" s="143">
        <v>1.0</v>
      </c>
      <c r="L88" s="144">
        <v>1.0</v>
      </c>
      <c r="M88" s="144">
        <v>1.0</v>
      </c>
      <c r="N88" s="144">
        <v>2.0</v>
      </c>
      <c r="O88" s="144">
        <v>2.0</v>
      </c>
      <c r="P88" s="144">
        <v>3.0</v>
      </c>
      <c r="Q88" s="122"/>
      <c r="R88" s="223">
        <v>5.0</v>
      </c>
      <c r="S88" s="147">
        <f>IF(SUM(Rankings!$K88:$R88)&gt;0, COUNTIFS(Rankings!$D$2:$D$987, Rankings!$D88, Rankings!$F$2:$F$987, "&lt;"&amp;Rankings!$F88) + COUNTIFS(Rankings!$D$2:$D$987, Rankings!$D88, Rankings!$F$2:$F$987, Rankings!$F88, Rankings!$G$2:$G$987, "&lt;"&amp;Rankings!$G88)+1, "TBD")</f>
        <v>2</v>
      </c>
      <c r="T88" s="225">
        <v>1.0</v>
      </c>
      <c r="U88" s="225" t="b">
        <f>Rankings!$S88=Rankings!$T88</f>
        <v>0</v>
      </c>
      <c r="V88" s="226"/>
      <c r="W88" s="153"/>
    </row>
    <row r="89" ht="15.75" customHeight="1">
      <c r="A89" s="134"/>
      <c r="B89" s="134"/>
      <c r="C89" s="134"/>
      <c r="D89" s="219">
        <f>D86</f>
        <v>45936</v>
      </c>
      <c r="E89" s="227" t="str">
        <f>$N$1</f>
        <v>Rosey</v>
      </c>
      <c r="F89" s="220">
        <f>IFERROR(AVERAGE(Rankings!$K89:$R89), "TBD")</f>
        <v>3.285714286</v>
      </c>
      <c r="G89" s="220">
        <f>IFERROR(_xlfn.STDEV.P(Rankings!$K89:$R89), "TBD")</f>
        <v>0.8806305719</v>
      </c>
      <c r="H89" s="221">
        <f>IFERROR(AVERAGE(Rankings!$K89:$M89, Rankings!$O89:$R89), "TBD")</f>
        <v>3.333333333</v>
      </c>
      <c r="I89" s="222" t="s">
        <v>522</v>
      </c>
      <c r="J89" s="222" t="s">
        <v>523</v>
      </c>
      <c r="K89" s="143">
        <v>2.0</v>
      </c>
      <c r="L89" s="144">
        <v>4.0</v>
      </c>
      <c r="M89" s="144">
        <v>4.0</v>
      </c>
      <c r="N89" s="144">
        <v>3.0</v>
      </c>
      <c r="O89" s="144">
        <v>4.0</v>
      </c>
      <c r="P89" s="144">
        <v>4.0</v>
      </c>
      <c r="Q89" s="122"/>
      <c r="R89" s="223">
        <v>2.0</v>
      </c>
      <c r="S89" s="147">
        <f>IF(SUM(Rankings!$K89:$R89)&gt;0, COUNTIFS(Rankings!$D$2:$D$987, Rankings!$D89, Rankings!$F$2:$F$987, "&lt;"&amp;Rankings!$F89) + COUNTIFS(Rankings!$D$2:$D$987, Rankings!$D89, Rankings!$F$2:$F$987, Rankings!$F89, Rankings!$G$2:$G$987, "&lt;"&amp;Rankings!$G89)+1, "TBD")</f>
        <v>3</v>
      </c>
      <c r="T89" s="225">
        <v>1.0</v>
      </c>
      <c r="U89" s="225" t="b">
        <f>Rankings!$S89=Rankings!$T89</f>
        <v>0</v>
      </c>
      <c r="V89" s="226"/>
      <c r="W89" s="153"/>
    </row>
    <row r="90" ht="15.75" customHeight="1">
      <c r="A90" s="134"/>
      <c r="B90" s="134"/>
      <c r="C90" s="134"/>
      <c r="D90" s="219">
        <f t="shared" ref="D90:D92" si="13">D86</f>
        <v>45936</v>
      </c>
      <c r="E90" s="227" t="str">
        <f>$O$1</f>
        <v>TTAC</v>
      </c>
      <c r="F90" s="220">
        <f>IFERROR(AVERAGE(Rankings!$K90:$R90), "TBD")</f>
        <v>1.857142857</v>
      </c>
      <c r="G90" s="220">
        <f>IFERROR(_xlfn.STDEV.P(Rankings!$K90:$R90), "TBD")</f>
        <v>0.9897433186</v>
      </c>
      <c r="H90" s="221">
        <f>IFERROR(AVERAGE(Rankings!$K90:$N90, Rankings!$P90:$R90), "TBD")</f>
        <v>2</v>
      </c>
      <c r="I90" s="222" t="s">
        <v>449</v>
      </c>
      <c r="J90" s="222" t="s">
        <v>530</v>
      </c>
      <c r="K90" s="143">
        <v>4.0</v>
      </c>
      <c r="L90" s="144">
        <v>2.0</v>
      </c>
      <c r="M90" s="144">
        <v>2.0</v>
      </c>
      <c r="N90" s="144">
        <v>1.0</v>
      </c>
      <c r="O90" s="144">
        <v>1.0</v>
      </c>
      <c r="P90" s="144">
        <v>2.0</v>
      </c>
      <c r="Q90" s="122"/>
      <c r="R90" s="223">
        <v>1.0</v>
      </c>
      <c r="S90" s="147">
        <f>IF(SUM(Rankings!$K90:$R90)&gt;0, COUNTIFS(Rankings!$D$2:$D$987, Rankings!$D90, Rankings!$F$2:$F$987, "&lt;"&amp;Rankings!$F90) + COUNTIFS(Rankings!$D$2:$D$987, Rankings!$D90, Rankings!$F$2:$F$987, Rankings!$F90, Rankings!$G$2:$G$987, "&lt;"&amp;Rankings!$G90)+1, "TBD")</f>
        <v>1</v>
      </c>
      <c r="T90" s="225">
        <v>1.0</v>
      </c>
      <c r="U90" s="225" t="b">
        <f>Rankings!$S90=Rankings!$T90</f>
        <v>1</v>
      </c>
      <c r="V90" s="226"/>
      <c r="W90" s="153"/>
    </row>
    <row r="91" ht="15.75" customHeight="1">
      <c r="A91" s="134"/>
      <c r="B91" s="134"/>
      <c r="C91" s="134"/>
      <c r="D91" s="219">
        <f t="shared" si="13"/>
        <v>45936</v>
      </c>
      <c r="E91" s="227" t="str">
        <f>$P$1</f>
        <v>Weston</v>
      </c>
      <c r="F91" s="220">
        <f>IFERROR(AVERAGE(Rankings!$K91:$R91), "TBD")</f>
        <v>4.714285714</v>
      </c>
      <c r="G91" s="220">
        <f>IFERROR(_xlfn.STDEV.P(Rankings!$K91:$R91), "TBD")</f>
        <v>1.979486637</v>
      </c>
      <c r="H91" s="221">
        <f>IFERROR(AVERAGE(Rankings!$K91:$O91, Rankings!$R91), "TBD")</f>
        <v>5.333333333</v>
      </c>
      <c r="I91" s="222" t="s">
        <v>532</v>
      </c>
      <c r="J91" s="222" t="s">
        <v>533</v>
      </c>
      <c r="K91" s="143">
        <v>7.0</v>
      </c>
      <c r="L91" s="144">
        <v>5.0</v>
      </c>
      <c r="M91" s="144">
        <v>5.0</v>
      </c>
      <c r="N91" s="144">
        <v>5.0</v>
      </c>
      <c r="O91" s="144">
        <v>3.0</v>
      </c>
      <c r="P91" s="144">
        <v>1.0</v>
      </c>
      <c r="Q91" s="122"/>
      <c r="R91" s="223">
        <v>7.0</v>
      </c>
      <c r="S91" s="147">
        <f>IF(SUM(Rankings!$K91:$R91)&gt;0, COUNTIFS(Rankings!$D$2:$D$987, Rankings!$D91, Rankings!$F$2:$F$987, "&lt;"&amp;Rankings!$F91) + COUNTIFS(Rankings!$D$2:$D$987, Rankings!$D91, Rankings!$F$2:$F$987, Rankings!$F91, Rankings!$G$2:$G$987, "&lt;"&amp;Rankings!$G91)+1, "TBD")</f>
        <v>4</v>
      </c>
      <c r="T91" s="225">
        <v>1.0</v>
      </c>
      <c r="U91" s="225" t="b">
        <f>Rankings!$S91=Rankings!$T91</f>
        <v>0</v>
      </c>
      <c r="V91" s="226"/>
      <c r="W91" s="153"/>
    </row>
    <row r="92" ht="15.75" customHeight="1">
      <c r="A92" s="189"/>
      <c r="B92" s="189"/>
      <c r="C92" s="189"/>
      <c r="D92" s="235">
        <f t="shared" si="13"/>
        <v>45936</v>
      </c>
      <c r="E92" s="237" t="str">
        <f>$R$1</f>
        <v>Jake</v>
      </c>
      <c r="F92" s="240">
        <f>IFERROR(AVERAGE(Rankings!$K92:$R92), "TBD")</f>
        <v>5.714285714</v>
      </c>
      <c r="G92" s="240">
        <f>IFERROR(_xlfn.STDEV.P(Rankings!$K92:$R92), "TBD")</f>
        <v>1.030157507</v>
      </c>
      <c r="H92" s="242">
        <f>IFERROR(AVERAGE(Rankings!$K92:$P92), "TBD")</f>
        <v>6</v>
      </c>
      <c r="I92" s="243" t="s">
        <v>536</v>
      </c>
      <c r="J92" s="243" t="s">
        <v>422</v>
      </c>
      <c r="K92" s="199">
        <v>5.0</v>
      </c>
      <c r="L92" s="201">
        <v>7.0</v>
      </c>
      <c r="M92" s="201">
        <v>6.0</v>
      </c>
      <c r="N92" s="201">
        <v>7.0</v>
      </c>
      <c r="O92" s="201">
        <v>5.0</v>
      </c>
      <c r="P92" s="201">
        <v>6.0</v>
      </c>
      <c r="Q92" s="122"/>
      <c r="R92" s="244">
        <v>4.0</v>
      </c>
      <c r="S92" s="203">
        <f>IF(SUM(Rankings!$K92:$R92)&gt;0, COUNTIFS(Rankings!$D$2:$D$987, Rankings!$D92, Rankings!$F$2:$F$987, "&lt;"&amp;Rankings!$F92) + COUNTIFS(Rankings!$D$2:$D$987, Rankings!$D92, Rankings!$F$2:$F$987, Rankings!$F92, Rankings!$G$2:$G$987, "&lt;"&amp;Rankings!$G92)+1, "TBD")</f>
        <v>7</v>
      </c>
      <c r="T92" s="247">
        <v>1.0</v>
      </c>
      <c r="U92" s="247" t="b">
        <f>Rankings!$S92=Rankings!$T92</f>
        <v>0</v>
      </c>
      <c r="V92" s="248"/>
      <c r="W92" s="208"/>
    </row>
    <row r="93" ht="15.75" customHeight="1">
      <c r="A93" s="103">
        <v>45938.0</v>
      </c>
      <c r="B93" s="104"/>
      <c r="C93" s="104" t="str">
        <f t="array" ref="C93">INDEX(Rankings!$E93:$E99, MATCH(1, (Rankings!$D93:$D99=$A93)*(Rankings!$U93:$U99=TRUE()), 0))</f>
        <v>TTAC</v>
      </c>
      <c r="D93" s="111">
        <f>A93</f>
        <v>45938</v>
      </c>
      <c r="E93" s="113" t="str">
        <f>$K$1</f>
        <v>Logan</v>
      </c>
      <c r="F93" s="115">
        <f>IFERROR(AVERAGE(Rankings!$K93:$R93), "TBD")</f>
        <v>3.857142857</v>
      </c>
      <c r="G93" s="115">
        <f>IFERROR(_xlfn.STDEV.P(Rankings!$K93:$R93), "TBD")</f>
        <v>2.531435021</v>
      </c>
      <c r="H93" s="117">
        <f>IFERROR(AVERAGE(Rankings!$L93:$R93), "TBD")</f>
        <v>4.333333333</v>
      </c>
      <c r="I93" s="119" t="s">
        <v>538</v>
      </c>
      <c r="J93" s="119" t="s">
        <v>539</v>
      </c>
      <c r="K93" s="120">
        <v>1.0</v>
      </c>
      <c r="L93" s="121">
        <v>6.0</v>
      </c>
      <c r="M93" s="121">
        <v>5.0</v>
      </c>
      <c r="N93" s="121">
        <v>1.0</v>
      </c>
      <c r="O93" s="121">
        <v>1.0</v>
      </c>
      <c r="P93" s="121">
        <v>6.0</v>
      </c>
      <c r="Q93" s="122"/>
      <c r="R93" s="216">
        <v>7.0</v>
      </c>
      <c r="S93" s="126">
        <f>IF(SUM(Rankings!$K93:$R93)&gt;0, COUNTIFS(Rankings!$D$2:$D$987, Rankings!$D93, Rankings!$F$2:$F$987, "&lt;"&amp;Rankings!$F93) + COUNTIFS(Rankings!$D$2:$D$987, Rankings!$D93, Rankings!$F$2:$F$987, Rankings!$F93, Rankings!$G$2:$G$987, "&lt;"&amp;Rankings!$G93)+1, "TBD")</f>
        <v>4</v>
      </c>
      <c r="T93" s="217">
        <v>1.0</v>
      </c>
      <c r="U93" s="217" t="b">
        <f>Rankings!$S93=Rankings!$T93</f>
        <v>0</v>
      </c>
      <c r="V93" s="133"/>
      <c r="W93" s="133"/>
    </row>
    <row r="94" ht="15.75" customHeight="1">
      <c r="A94" s="134"/>
      <c r="B94" s="134"/>
      <c r="C94" s="134"/>
      <c r="D94" s="219">
        <f>D93</f>
        <v>45938</v>
      </c>
      <c r="E94" s="138" t="str">
        <f>$L$1</f>
        <v>Parker</v>
      </c>
      <c r="F94" s="220">
        <f>IFERROR(AVERAGE(Rankings!$K94:$R94), "TBD")</f>
        <v>3.142857143</v>
      </c>
      <c r="G94" s="220">
        <f>IFERROR(_xlfn.STDEV.P(Rankings!$K94:$R94), "TBD")</f>
        <v>1.245399698</v>
      </c>
      <c r="H94" s="221">
        <f>IFERROR(AVERAGE(Rankings!$K94, Rankings!$M94:$R94), "TBD")</f>
        <v>3.5</v>
      </c>
      <c r="I94" s="222" t="s">
        <v>540</v>
      </c>
      <c r="J94" s="222" t="s">
        <v>541</v>
      </c>
      <c r="K94" s="143">
        <v>2.0</v>
      </c>
      <c r="L94" s="144">
        <v>1.0</v>
      </c>
      <c r="M94" s="144">
        <v>4.0</v>
      </c>
      <c r="N94" s="144">
        <v>3.0</v>
      </c>
      <c r="O94" s="144">
        <v>5.0</v>
      </c>
      <c r="P94" s="144">
        <v>3.0</v>
      </c>
      <c r="Q94" s="122"/>
      <c r="R94" s="223">
        <v>4.0</v>
      </c>
      <c r="S94" s="147">
        <f>IF(SUM(Rankings!$K94:$R94)&gt;0, COUNTIFS(Rankings!$D$2:$D$987, Rankings!$D94, Rankings!$F$2:$F$987, "&lt;"&amp;Rankings!$F94) + COUNTIFS(Rankings!$D$2:$D$987, Rankings!$D94, Rankings!$F$2:$F$987, Rankings!$F94, Rankings!$G$2:$G$987, "&lt;"&amp;Rankings!$G94)+1, "TBD")</f>
        <v>2</v>
      </c>
      <c r="T94" s="225">
        <v>1.0</v>
      </c>
      <c r="U94" s="225" t="b">
        <f>Rankings!$S94=Rankings!$T94</f>
        <v>0</v>
      </c>
      <c r="V94" s="226"/>
      <c r="W94" s="153"/>
    </row>
    <row r="95" ht="15.75" customHeight="1">
      <c r="A95" s="134"/>
      <c r="B95" s="134"/>
      <c r="C95" s="134"/>
      <c r="D95" s="219">
        <f>D93</f>
        <v>45938</v>
      </c>
      <c r="E95" s="227" t="str">
        <f>$M$1</f>
        <v>Giacomo</v>
      </c>
      <c r="F95" s="220">
        <f>IFERROR(AVERAGE(Rankings!$K95:$R95), "TBD")</f>
        <v>3.714285714</v>
      </c>
      <c r="G95" s="220">
        <f>IFERROR(_xlfn.STDEV.P(Rankings!$K95:$R95), "TBD")</f>
        <v>1.27775313</v>
      </c>
      <c r="H95" s="221">
        <f>IFERROR(AVERAGE(Rankings!$K95:$L95, Rankings!$N95:$R95), "TBD")</f>
        <v>4</v>
      </c>
      <c r="I95" s="222" t="s">
        <v>543</v>
      </c>
      <c r="J95" s="222" t="s">
        <v>544</v>
      </c>
      <c r="K95" s="143">
        <v>5.0</v>
      </c>
      <c r="L95" s="144">
        <v>3.0</v>
      </c>
      <c r="M95" s="144">
        <v>2.0</v>
      </c>
      <c r="N95" s="144">
        <v>2.0</v>
      </c>
      <c r="O95" s="144">
        <v>4.0</v>
      </c>
      <c r="P95" s="144">
        <v>5.0</v>
      </c>
      <c r="Q95" s="122"/>
      <c r="R95" s="223">
        <v>5.0</v>
      </c>
      <c r="S95" s="147">
        <f>IF(SUM(Rankings!$K95:$R95)&gt;0, COUNTIFS(Rankings!$D$2:$D$987, Rankings!$D95, Rankings!$F$2:$F$987, "&lt;"&amp;Rankings!$F95) + COUNTIFS(Rankings!$D$2:$D$987, Rankings!$D95, Rankings!$F$2:$F$987, Rankings!$F95, Rankings!$G$2:$G$987, "&lt;"&amp;Rankings!$G95)+1, "TBD")</f>
        <v>3</v>
      </c>
      <c r="T95" s="225">
        <v>1.0</v>
      </c>
      <c r="U95" s="225" t="b">
        <f>Rankings!$S95=Rankings!$T95</f>
        <v>0</v>
      </c>
      <c r="V95" s="226"/>
      <c r="W95" s="153"/>
    </row>
    <row r="96" ht="15.75" customHeight="1">
      <c r="A96" s="134"/>
      <c r="B96" s="134"/>
      <c r="C96" s="134"/>
      <c r="D96" s="219">
        <f>D93</f>
        <v>45938</v>
      </c>
      <c r="E96" s="227" t="str">
        <f>$N$1</f>
        <v>Rosey</v>
      </c>
      <c r="F96" s="220">
        <f>IFERROR(AVERAGE(Rankings!$K96:$R96), "TBD")</f>
        <v>4.857142857</v>
      </c>
      <c r="G96" s="220">
        <f>IFERROR(_xlfn.STDEV.P(Rankings!$K96:$R96), "TBD")</f>
        <v>1.641303613</v>
      </c>
      <c r="H96" s="221">
        <f>IFERROR(AVERAGE(Rankings!$K96:$M96, Rankings!$O96:$R96), "TBD")</f>
        <v>5</v>
      </c>
      <c r="I96" s="222" t="s">
        <v>546</v>
      </c>
      <c r="J96" s="222" t="s">
        <v>547</v>
      </c>
      <c r="K96" s="143">
        <v>3.0</v>
      </c>
      <c r="L96" s="144">
        <v>4.0</v>
      </c>
      <c r="M96" s="144">
        <v>7.0</v>
      </c>
      <c r="N96" s="144">
        <v>4.0</v>
      </c>
      <c r="O96" s="144">
        <v>3.0</v>
      </c>
      <c r="P96" s="144">
        <v>7.0</v>
      </c>
      <c r="Q96" s="122"/>
      <c r="R96" s="223">
        <v>6.0</v>
      </c>
      <c r="S96" s="147">
        <f>IF(SUM(Rankings!$K96:$R96)&gt;0, COUNTIFS(Rankings!$D$2:$D$987, Rankings!$D96, Rankings!$F$2:$F$987, "&lt;"&amp;Rankings!$F96) + COUNTIFS(Rankings!$D$2:$D$987, Rankings!$D96, Rankings!$F$2:$F$987, Rankings!$F96, Rankings!$G$2:$G$987, "&lt;"&amp;Rankings!$G96)+1, "TBD")</f>
        <v>6</v>
      </c>
      <c r="T96" s="225">
        <v>1.0</v>
      </c>
      <c r="U96" s="225" t="b">
        <f>Rankings!$S96=Rankings!$T96</f>
        <v>0</v>
      </c>
      <c r="V96" s="226"/>
      <c r="W96" s="153"/>
    </row>
    <row r="97" ht="15.75" customHeight="1">
      <c r="A97" s="134"/>
      <c r="B97" s="134"/>
      <c r="C97" s="134"/>
      <c r="D97" s="219">
        <f t="shared" ref="D97:D99" si="14">D93</f>
        <v>45938</v>
      </c>
      <c r="E97" s="227" t="str">
        <f>$O$1</f>
        <v>TTAC</v>
      </c>
      <c r="F97" s="220">
        <f>IFERROR(AVERAGE(Rankings!$K97:$R97), "TBD")</f>
        <v>3</v>
      </c>
      <c r="G97" s="220">
        <f>IFERROR(_xlfn.STDEV.P(Rankings!$K97:$R97), "TBD")</f>
        <v>2</v>
      </c>
      <c r="H97" s="221">
        <f>IFERROR(AVERAGE(Rankings!$K97:$N97, Rankings!$P97:$R97), "TBD")</f>
        <v>3.166666667</v>
      </c>
      <c r="I97" s="222" t="s">
        <v>464</v>
      </c>
      <c r="J97" s="222" t="s">
        <v>549</v>
      </c>
      <c r="K97" s="143">
        <v>6.0</v>
      </c>
      <c r="L97" s="144">
        <v>2.0</v>
      </c>
      <c r="M97" s="144">
        <v>3.0</v>
      </c>
      <c r="N97" s="144">
        <v>6.0</v>
      </c>
      <c r="O97" s="144">
        <v>2.0</v>
      </c>
      <c r="P97" s="144">
        <v>1.0</v>
      </c>
      <c r="Q97" s="122"/>
      <c r="R97" s="223">
        <v>1.0</v>
      </c>
      <c r="S97" s="147">
        <f>IF(SUM(Rankings!$K97:$R97)&gt;0, COUNTIFS(Rankings!$D$2:$D$987, Rankings!$D97, Rankings!$F$2:$F$987, "&lt;"&amp;Rankings!$F97) + COUNTIFS(Rankings!$D$2:$D$987, Rankings!$D97, Rankings!$F$2:$F$987, Rankings!$F97, Rankings!$G$2:$G$987, "&lt;"&amp;Rankings!$G97)+1, "TBD")</f>
        <v>1</v>
      </c>
      <c r="T97" s="225">
        <v>1.0</v>
      </c>
      <c r="U97" s="225" t="b">
        <f>Rankings!$S97=Rankings!$T97</f>
        <v>1</v>
      </c>
      <c r="V97" s="226"/>
      <c r="W97" s="153"/>
    </row>
    <row r="98" ht="15.75" customHeight="1">
      <c r="A98" s="134"/>
      <c r="B98" s="134"/>
      <c r="C98" s="134"/>
      <c r="D98" s="219">
        <f t="shared" si="14"/>
        <v>45938</v>
      </c>
      <c r="E98" s="227" t="str">
        <f>$P$1</f>
        <v>Weston</v>
      </c>
      <c r="F98" s="220">
        <f>IFERROR(AVERAGE(Rankings!$K98:$R98), "TBD")</f>
        <v>4</v>
      </c>
      <c r="G98" s="220">
        <f>IFERROR(_xlfn.STDEV.P(Rankings!$K98:$R98), "TBD")</f>
        <v>2.267786838</v>
      </c>
      <c r="H98" s="221">
        <f>IFERROR(AVERAGE(Rankings!$K98:$O98, Rankings!$R98), "TBD")</f>
        <v>4.333333333</v>
      </c>
      <c r="I98" s="222" t="s">
        <v>550</v>
      </c>
      <c r="J98" s="222" t="s">
        <v>551</v>
      </c>
      <c r="K98" s="143">
        <v>4.0</v>
      </c>
      <c r="L98" s="144">
        <v>5.0</v>
      </c>
      <c r="M98" s="144">
        <v>1.0</v>
      </c>
      <c r="N98" s="144">
        <v>7.0</v>
      </c>
      <c r="O98" s="144">
        <v>7.0</v>
      </c>
      <c r="P98" s="144">
        <v>2.0</v>
      </c>
      <c r="Q98" s="122"/>
      <c r="R98" s="223">
        <v>2.0</v>
      </c>
      <c r="S98" s="147">
        <f>IF(SUM(Rankings!$K98:$R98)&gt;0, COUNTIFS(Rankings!$D$2:$D$987, Rankings!$D98, Rankings!$F$2:$F$987, "&lt;"&amp;Rankings!$F98) + COUNTIFS(Rankings!$D$2:$D$987, Rankings!$D98, Rankings!$F$2:$F$987, Rankings!$F98, Rankings!$G$2:$G$987, "&lt;"&amp;Rankings!$G98)+1, "TBD")</f>
        <v>5</v>
      </c>
      <c r="T98" s="225">
        <v>1.0</v>
      </c>
      <c r="U98" s="225" t="b">
        <f>Rankings!$S98=Rankings!$T98</f>
        <v>0</v>
      </c>
      <c r="V98" s="226"/>
      <c r="W98" s="153"/>
    </row>
    <row r="99" ht="15.75" customHeight="1">
      <c r="A99" s="189"/>
      <c r="B99" s="189"/>
      <c r="C99" s="189"/>
      <c r="D99" s="235">
        <f t="shared" si="14"/>
        <v>45938</v>
      </c>
      <c r="E99" s="237" t="str">
        <f>$R$1</f>
        <v>Jake</v>
      </c>
      <c r="F99" s="240">
        <f>IFERROR(AVERAGE(Rankings!$K99:$R99), "TBD")</f>
        <v>5.428571429</v>
      </c>
      <c r="G99" s="240">
        <f>IFERROR(_xlfn.STDEV.P(Rankings!$K99:$R99), "TBD")</f>
        <v>1.399708424</v>
      </c>
      <c r="H99" s="242">
        <f>IFERROR(AVERAGE(Rankings!$K99:$P99), "TBD")</f>
        <v>5.833333333</v>
      </c>
      <c r="I99" s="243" t="s">
        <v>553</v>
      </c>
      <c r="J99" s="243" t="s">
        <v>554</v>
      </c>
      <c r="K99" s="199">
        <v>7.0</v>
      </c>
      <c r="L99" s="201">
        <v>7.0</v>
      </c>
      <c r="M99" s="201">
        <v>6.0</v>
      </c>
      <c r="N99" s="201">
        <v>5.0</v>
      </c>
      <c r="O99" s="201">
        <v>6.0</v>
      </c>
      <c r="P99" s="201">
        <v>4.0</v>
      </c>
      <c r="Q99" s="122"/>
      <c r="R99" s="244">
        <v>3.0</v>
      </c>
      <c r="S99" s="203">
        <f>IF(SUM(Rankings!$K99:$R99)&gt;0, COUNTIFS(Rankings!$D$2:$D$987, Rankings!$D99, Rankings!$F$2:$F$987, "&lt;"&amp;Rankings!$F99) + COUNTIFS(Rankings!$D$2:$D$987, Rankings!$D99, Rankings!$F$2:$F$987, Rankings!$F99, Rankings!$G$2:$G$987, "&lt;"&amp;Rankings!$G99)+1, "TBD")</f>
        <v>7</v>
      </c>
      <c r="T99" s="247">
        <v>1.0</v>
      </c>
      <c r="U99" s="247" t="b">
        <f>Rankings!$S99=Rankings!$T99</f>
        <v>0</v>
      </c>
      <c r="V99" s="248"/>
      <c r="W99" s="208"/>
    </row>
    <row r="100" ht="15.75" customHeight="1">
      <c r="A100" s="103">
        <v>45940.0</v>
      </c>
      <c r="B100" s="104"/>
      <c r="C100" s="104" t="str">
        <f t="array" ref="C100">INDEX(Rankings!$E100:$E106, MATCH(1, (Rankings!$D100:$D106=$A100)*(Rankings!$U100:$U106=TRUE()), 0))</f>
        <v>Weston</v>
      </c>
      <c r="D100" s="111">
        <f>A100</f>
        <v>45940</v>
      </c>
      <c r="E100" s="113" t="str">
        <f>$K$1</f>
        <v>Logan</v>
      </c>
      <c r="F100" s="115">
        <f>IFERROR(AVERAGE(Rankings!$K100:$R100), "TBD")</f>
        <v>2.571428571</v>
      </c>
      <c r="G100" s="115">
        <f>IFERROR(_xlfn.STDEV.P(Rankings!$K100:$R100), "TBD")</f>
        <v>1.916629695</v>
      </c>
      <c r="H100" s="117">
        <f>IFERROR(AVERAGE(Rankings!$L100:$R100), "TBD")</f>
        <v>2.666666667</v>
      </c>
      <c r="I100" s="119" t="s">
        <v>558</v>
      </c>
      <c r="J100" s="119" t="s">
        <v>559</v>
      </c>
      <c r="K100" s="120">
        <v>2.0</v>
      </c>
      <c r="L100" s="121">
        <v>1.0</v>
      </c>
      <c r="M100" s="121">
        <v>7.0</v>
      </c>
      <c r="N100" s="121">
        <v>1.0</v>
      </c>
      <c r="O100" s="121">
        <v>2.0</v>
      </c>
      <c r="P100" s="121">
        <v>2.0</v>
      </c>
      <c r="Q100" s="122"/>
      <c r="R100" s="216">
        <v>3.0</v>
      </c>
      <c r="S100" s="126">
        <f>IF(SUM(Rankings!$K100:$R100)&gt;0, COUNTIFS(Rankings!$D$2:$D$987, Rankings!$D100, Rankings!$F$2:$F$987, "&lt;"&amp;Rankings!$F100) + COUNTIFS(Rankings!$D$2:$D$987, Rankings!$D100, Rankings!$F$2:$F$987, Rankings!$F100, Rankings!$G$2:$G$987, "&lt;"&amp;Rankings!$G100)+1, "TBD")</f>
        <v>2</v>
      </c>
      <c r="T100" s="217">
        <v>1.0</v>
      </c>
      <c r="U100" s="217" t="b">
        <f>Rankings!$S100=Rankings!$T100</f>
        <v>0</v>
      </c>
      <c r="V100" s="133"/>
      <c r="W100" s="133"/>
    </row>
    <row r="101" ht="15.75" customHeight="1">
      <c r="A101" s="134"/>
      <c r="B101" s="134"/>
      <c r="C101" s="134"/>
      <c r="D101" s="219">
        <f>D100</f>
        <v>45940</v>
      </c>
      <c r="E101" s="138" t="str">
        <f>$L$1</f>
        <v>Parker</v>
      </c>
      <c r="F101" s="220">
        <f>IFERROR(AVERAGE(Rankings!$K101:$R101), "TBD")</f>
        <v>5.142857143</v>
      </c>
      <c r="G101" s="220">
        <f>IFERROR(_xlfn.STDEV.P(Rankings!$K101:$R101), "TBD")</f>
        <v>1.456862718</v>
      </c>
      <c r="H101" s="221">
        <f>IFERROR(AVERAGE(Rankings!$K101, Rankings!$M101:$R101), "TBD")</f>
        <v>5.166666667</v>
      </c>
      <c r="I101" s="222" t="s">
        <v>563</v>
      </c>
      <c r="J101" s="222" t="s">
        <v>564</v>
      </c>
      <c r="K101" s="143">
        <v>6.0</v>
      </c>
      <c r="L101" s="144">
        <v>5.0</v>
      </c>
      <c r="M101" s="144">
        <v>5.0</v>
      </c>
      <c r="N101" s="144">
        <v>2.0</v>
      </c>
      <c r="O101" s="144">
        <v>7.0</v>
      </c>
      <c r="P101" s="144">
        <v>5.0</v>
      </c>
      <c r="Q101" s="122"/>
      <c r="R101" s="223">
        <v>6.0</v>
      </c>
      <c r="S101" s="147">
        <f>IF(SUM(Rankings!$K101:$R101)&gt;0, COUNTIFS(Rankings!$D$2:$D$987, Rankings!$D101, Rankings!$F$2:$F$987, "&lt;"&amp;Rankings!$F101) + COUNTIFS(Rankings!$D$2:$D$987, Rankings!$D101, Rankings!$F$2:$F$987, Rankings!$F101, Rankings!$G$2:$G$987, "&lt;"&amp;Rankings!$G101)+1, "TBD")</f>
        <v>6</v>
      </c>
      <c r="T101" s="225">
        <v>1.0</v>
      </c>
      <c r="U101" s="225" t="b">
        <f>Rankings!$S101=Rankings!$T101</f>
        <v>0</v>
      </c>
      <c r="V101" s="226"/>
      <c r="W101" s="153"/>
    </row>
    <row r="102" ht="15.75" customHeight="1">
      <c r="A102" s="134"/>
      <c r="B102" s="134"/>
      <c r="C102" s="134"/>
      <c r="D102" s="219">
        <f>D100</f>
        <v>45940</v>
      </c>
      <c r="E102" s="227" t="str">
        <f>$M$1</f>
        <v>Giacomo</v>
      </c>
      <c r="F102" s="220">
        <f>IFERROR(AVERAGE(Rankings!$K102:$R102), "TBD")</f>
        <v>4.571428571</v>
      </c>
      <c r="G102" s="220">
        <f>IFERROR(_xlfn.STDEV.P(Rankings!$K102:$R102), "TBD")</f>
        <v>1.761261144</v>
      </c>
      <c r="H102" s="221">
        <f>IFERROR(AVERAGE(Rankings!$K102:$L102, Rankings!$N102:$R102), "TBD")</f>
        <v>5</v>
      </c>
      <c r="I102" s="222" t="s">
        <v>567</v>
      </c>
      <c r="J102" s="222" t="s">
        <v>568</v>
      </c>
      <c r="K102" s="143">
        <v>4.0</v>
      </c>
      <c r="L102" s="144">
        <v>6.0</v>
      </c>
      <c r="M102" s="144">
        <v>2.0</v>
      </c>
      <c r="N102" s="144">
        <v>6.0</v>
      </c>
      <c r="O102" s="144">
        <v>6.0</v>
      </c>
      <c r="P102" s="144">
        <v>6.0</v>
      </c>
      <c r="Q102" s="122"/>
      <c r="R102" s="223">
        <v>2.0</v>
      </c>
      <c r="S102" s="147">
        <f>IF(SUM(Rankings!$K102:$R102)&gt;0, COUNTIFS(Rankings!$D$2:$D$987, Rankings!$D102, Rankings!$F$2:$F$987, "&lt;"&amp;Rankings!$F102) + COUNTIFS(Rankings!$D$2:$D$987, Rankings!$D102, Rankings!$F$2:$F$987, Rankings!$F102, Rankings!$G$2:$G$987, "&lt;"&amp;Rankings!$G102)+1, "TBD")</f>
        <v>5</v>
      </c>
      <c r="T102" s="225">
        <v>1.0</v>
      </c>
      <c r="U102" s="225" t="b">
        <f>Rankings!$S102=Rankings!$T102</f>
        <v>0</v>
      </c>
      <c r="V102" s="226"/>
      <c r="W102" s="153"/>
    </row>
    <row r="103" ht="15.75" customHeight="1">
      <c r="A103" s="134"/>
      <c r="B103" s="134"/>
      <c r="C103" s="134"/>
      <c r="D103" s="219">
        <f>D100</f>
        <v>45940</v>
      </c>
      <c r="E103" s="227" t="str">
        <f>$N$1</f>
        <v>Rosey</v>
      </c>
      <c r="F103" s="220">
        <f>IFERROR(AVERAGE(Rankings!$K103:$R103), "TBD")</f>
        <v>4.571428571</v>
      </c>
      <c r="G103" s="220">
        <f>IFERROR(_xlfn.STDEV.P(Rankings!$K103:$R103), "TBD")</f>
        <v>1.399708424</v>
      </c>
      <c r="H103" s="221">
        <f>IFERROR(AVERAGE(Rankings!$K103:$M103, Rankings!$O103:$R103), "TBD")</f>
        <v>4.833333333</v>
      </c>
      <c r="I103" s="222" t="s">
        <v>571</v>
      </c>
      <c r="J103" s="222" t="s">
        <v>572</v>
      </c>
      <c r="K103" s="143">
        <v>5.0</v>
      </c>
      <c r="L103" s="144">
        <v>3.0</v>
      </c>
      <c r="M103" s="144">
        <v>6.0</v>
      </c>
      <c r="N103" s="144">
        <v>3.0</v>
      </c>
      <c r="O103" s="144">
        <v>4.0</v>
      </c>
      <c r="P103" s="144">
        <v>7.0</v>
      </c>
      <c r="Q103" s="122"/>
      <c r="R103" s="223">
        <v>4.0</v>
      </c>
      <c r="S103" s="147">
        <f>IF(SUM(Rankings!$K103:$R103)&gt;0, COUNTIFS(Rankings!$D$2:$D$987, Rankings!$D103, Rankings!$F$2:$F$987, "&lt;"&amp;Rankings!$F103) + COUNTIFS(Rankings!$D$2:$D$987, Rankings!$D103, Rankings!$F$2:$F$987, Rankings!$F103, Rankings!$G$2:$G$987, "&lt;"&amp;Rankings!$G103)+1, "TBD")</f>
        <v>4</v>
      </c>
      <c r="T103" s="225">
        <v>1.0</v>
      </c>
      <c r="U103" s="225" t="b">
        <f>Rankings!$S103=Rankings!$T103</f>
        <v>0</v>
      </c>
      <c r="V103" s="226"/>
      <c r="W103" s="153"/>
    </row>
    <row r="104" ht="15.75" customHeight="1">
      <c r="A104" s="134"/>
      <c r="B104" s="134"/>
      <c r="C104" s="134"/>
      <c r="D104" s="219">
        <f t="shared" ref="D104:D106" si="15">D100</f>
        <v>45940</v>
      </c>
      <c r="E104" s="227" t="str">
        <f>$O$1</f>
        <v>TTAC</v>
      </c>
      <c r="F104" s="220">
        <f>IFERROR(AVERAGE(Rankings!$K104:$R104), "TBD")</f>
        <v>5.714285714</v>
      </c>
      <c r="G104" s="220">
        <f>IFERROR(_xlfn.STDEV.P(Rankings!$K104:$R104), "TBD")</f>
        <v>1.577908717</v>
      </c>
      <c r="H104" s="221">
        <f>IFERROR(AVERAGE(Rankings!$K104:$N104, Rankings!$P104:$R104), "TBD")</f>
        <v>5.833333333</v>
      </c>
      <c r="I104" s="222" t="s">
        <v>577</v>
      </c>
      <c r="J104" s="222" t="s">
        <v>578</v>
      </c>
      <c r="K104" s="143">
        <v>7.0</v>
      </c>
      <c r="L104" s="144">
        <v>7.0</v>
      </c>
      <c r="M104" s="144">
        <v>3.0</v>
      </c>
      <c r="N104" s="144">
        <v>7.0</v>
      </c>
      <c r="O104" s="144">
        <v>5.0</v>
      </c>
      <c r="P104" s="144">
        <v>4.0</v>
      </c>
      <c r="Q104" s="122"/>
      <c r="R104" s="223">
        <v>7.0</v>
      </c>
      <c r="S104" s="147">
        <f>IF(SUM(Rankings!$K104:$R104)&gt;0, COUNTIFS(Rankings!$D$2:$D$987, Rankings!$D104, Rankings!$F$2:$F$987, "&lt;"&amp;Rankings!$F104) + COUNTIFS(Rankings!$D$2:$D$987, Rankings!$D104, Rankings!$F$2:$F$987, Rankings!$F104, Rankings!$G$2:$G$987, "&lt;"&amp;Rankings!$G104)+1, "TBD")</f>
        <v>7</v>
      </c>
      <c r="T104" s="225">
        <v>1.0</v>
      </c>
      <c r="U104" s="225" t="b">
        <f>Rankings!$S104=Rankings!$T104</f>
        <v>0</v>
      </c>
      <c r="V104" s="226"/>
      <c r="W104" s="153"/>
    </row>
    <row r="105" ht="15.75" customHeight="1">
      <c r="A105" s="134"/>
      <c r="B105" s="134"/>
      <c r="C105" s="134"/>
      <c r="D105" s="219">
        <f t="shared" si="15"/>
        <v>45940</v>
      </c>
      <c r="E105" s="227" t="str">
        <f>$P$1</f>
        <v>Weston</v>
      </c>
      <c r="F105" s="220">
        <f>IFERROR(AVERAGE(Rankings!$K105:$R105), "TBD")</f>
        <v>2.428571429</v>
      </c>
      <c r="G105" s="220">
        <f>IFERROR(_xlfn.STDEV.P(Rankings!$K105:$R105), "TBD")</f>
        <v>1.498298355</v>
      </c>
      <c r="H105" s="221">
        <f>IFERROR(AVERAGE(Rankings!$K105:$O105, Rankings!$R105), "TBD")</f>
        <v>2.666666667</v>
      </c>
      <c r="I105" s="222" t="s">
        <v>456</v>
      </c>
      <c r="J105" s="222" t="s">
        <v>581</v>
      </c>
      <c r="K105" s="143">
        <v>1.0</v>
      </c>
      <c r="L105" s="144">
        <v>2.0</v>
      </c>
      <c r="M105" s="144">
        <v>1.0</v>
      </c>
      <c r="N105" s="144">
        <v>4.0</v>
      </c>
      <c r="O105" s="144">
        <v>3.0</v>
      </c>
      <c r="P105" s="144">
        <v>1.0</v>
      </c>
      <c r="Q105" s="122"/>
      <c r="R105" s="223">
        <v>5.0</v>
      </c>
      <c r="S105" s="147">
        <f>IF(SUM(Rankings!$K105:$R105)&gt;0, COUNTIFS(Rankings!$D$2:$D$987, Rankings!$D105, Rankings!$F$2:$F$987, "&lt;"&amp;Rankings!$F105) + COUNTIFS(Rankings!$D$2:$D$987, Rankings!$D105, Rankings!$F$2:$F$987, Rankings!$F105, Rankings!$G$2:$G$987, "&lt;"&amp;Rankings!$G105)+1, "TBD")</f>
        <v>1</v>
      </c>
      <c r="T105" s="225">
        <v>1.0</v>
      </c>
      <c r="U105" s="225" t="b">
        <f>Rankings!$S105=Rankings!$T105</f>
        <v>1</v>
      </c>
      <c r="V105" s="226"/>
      <c r="W105" s="153"/>
    </row>
    <row r="106" ht="15.75" customHeight="1">
      <c r="A106" s="189"/>
      <c r="B106" s="189"/>
      <c r="C106" s="189"/>
      <c r="D106" s="235">
        <f t="shared" si="15"/>
        <v>45940</v>
      </c>
      <c r="E106" s="237" t="str">
        <f>$R$1</f>
        <v>Jake</v>
      </c>
      <c r="F106" s="240">
        <f>IFERROR(AVERAGE(Rankings!$K106:$R106), "TBD")</f>
        <v>3</v>
      </c>
      <c r="G106" s="240">
        <f>IFERROR(_xlfn.STDEV.P(Rankings!$K106:$R106), "TBD")</f>
        <v>1.414213562</v>
      </c>
      <c r="H106" s="242">
        <f>IFERROR(AVERAGE(Rankings!$K106:$P106), "TBD")</f>
        <v>3.333333333</v>
      </c>
      <c r="I106" s="243" t="s">
        <v>113</v>
      </c>
      <c r="J106" s="243" t="s">
        <v>584</v>
      </c>
      <c r="K106" s="199">
        <v>3.0</v>
      </c>
      <c r="L106" s="201">
        <v>4.0</v>
      </c>
      <c r="M106" s="201">
        <v>4.0</v>
      </c>
      <c r="N106" s="201">
        <v>5.0</v>
      </c>
      <c r="O106" s="201">
        <v>1.0</v>
      </c>
      <c r="P106" s="201">
        <v>3.0</v>
      </c>
      <c r="Q106" s="122"/>
      <c r="R106" s="244">
        <v>1.0</v>
      </c>
      <c r="S106" s="203">
        <f>IF(SUM(Rankings!$K106:$R106)&gt;0, COUNTIFS(Rankings!$D$2:$D$987, Rankings!$D106, Rankings!$F$2:$F$987, "&lt;"&amp;Rankings!$F106) + COUNTIFS(Rankings!$D$2:$D$987, Rankings!$D106, Rankings!$F$2:$F$987, Rankings!$F106, Rankings!$G$2:$G$987, "&lt;"&amp;Rankings!$G106)+1, "TBD")</f>
        <v>3</v>
      </c>
      <c r="T106" s="247">
        <v>1.0</v>
      </c>
      <c r="U106" s="247" t="b">
        <f>Rankings!$S106=Rankings!$T106</f>
        <v>0</v>
      </c>
      <c r="V106" s="248"/>
      <c r="W106" s="208"/>
    </row>
    <row r="107" ht="15.75" customHeight="1">
      <c r="A107" s="103">
        <v>45943.0</v>
      </c>
      <c r="B107" s="104"/>
      <c r="C107" s="104" t="str">
        <f t="array" ref="C107">INDEX(Rankings!$E107:$E113, MATCH(1, (Rankings!$D107:$D113=$A107)*(Rankings!$U107:$U113=TRUE()), 0))</f>
        <v>Rosey</v>
      </c>
      <c r="D107" s="111">
        <f>A107</f>
        <v>45943</v>
      </c>
      <c r="E107" s="113" t="str">
        <f>$K$1</f>
        <v>Logan</v>
      </c>
      <c r="F107" s="115">
        <f>IFERROR(AVERAGE(Rankings!$K107:$R107), "TBD")</f>
        <v>5</v>
      </c>
      <c r="G107" s="115">
        <f>IFERROR(_xlfn.STDEV.P(Rankings!$K107:$R107), "TBD")</f>
        <v>1.195228609</v>
      </c>
      <c r="H107" s="117">
        <f>IFERROR(AVERAGE(Rankings!$L107:$R107), "TBD")</f>
        <v>5.333333333</v>
      </c>
      <c r="I107" s="119" t="s">
        <v>589</v>
      </c>
      <c r="J107" s="119" t="s">
        <v>590</v>
      </c>
      <c r="K107" s="120">
        <v>3.0</v>
      </c>
      <c r="L107" s="121">
        <v>7.0</v>
      </c>
      <c r="M107" s="121">
        <v>6.0</v>
      </c>
      <c r="N107" s="121">
        <v>5.0</v>
      </c>
      <c r="O107" s="121">
        <v>5.0</v>
      </c>
      <c r="P107" s="121">
        <v>5.0</v>
      </c>
      <c r="Q107" s="122"/>
      <c r="R107" s="216">
        <v>4.0</v>
      </c>
      <c r="S107" s="126">
        <f>IF(SUM(Rankings!$K107:$R107)&gt;0, COUNTIFS(Rankings!$D$2:$D$987, Rankings!$D107, Rankings!$F$2:$F$987, "&lt;"&amp;Rankings!$F107) + COUNTIFS(Rankings!$D$2:$D$987, Rankings!$D107, Rankings!$F$2:$F$987, Rankings!$F107, Rankings!$G$2:$G$987, "&lt;"&amp;Rankings!$G107)+1, "TBD")</f>
        <v>5</v>
      </c>
      <c r="T107" s="217">
        <v>1.0</v>
      </c>
      <c r="U107" s="217" t="b">
        <f>Rankings!$S107=Rankings!$T107</f>
        <v>0</v>
      </c>
      <c r="V107" s="133"/>
      <c r="W107" s="133"/>
    </row>
    <row r="108" ht="15.75" customHeight="1">
      <c r="A108" s="134"/>
      <c r="B108" s="134"/>
      <c r="C108" s="134"/>
      <c r="D108" s="219">
        <f>D107</f>
        <v>45943</v>
      </c>
      <c r="E108" s="138" t="str">
        <f>$L$1</f>
        <v>Parker</v>
      </c>
      <c r="F108" s="220">
        <f>IFERROR(AVERAGE(Rankings!$K108:$R108), "TBD")</f>
        <v>3.142857143</v>
      </c>
      <c r="G108" s="220">
        <f>IFERROR(_xlfn.STDEV.P(Rankings!$K108:$R108), "TBD")</f>
        <v>1.551825784</v>
      </c>
      <c r="H108" s="221">
        <f>IFERROR(AVERAGE(Rankings!$K108, Rankings!$M108:$R108), "TBD")</f>
        <v>3.333333333</v>
      </c>
      <c r="I108" s="222" t="s">
        <v>594</v>
      </c>
      <c r="J108" s="222" t="s">
        <v>595</v>
      </c>
      <c r="K108" s="143">
        <v>1.0</v>
      </c>
      <c r="L108" s="144">
        <v>2.0</v>
      </c>
      <c r="M108" s="144">
        <v>2.0</v>
      </c>
      <c r="N108" s="144">
        <v>4.0</v>
      </c>
      <c r="O108" s="144">
        <v>3.0</v>
      </c>
      <c r="P108" s="144">
        <v>4.0</v>
      </c>
      <c r="Q108" s="122"/>
      <c r="R108" s="223">
        <v>6.0</v>
      </c>
      <c r="S108" s="147">
        <f>IF(SUM(Rankings!$K108:$R108)&gt;0, COUNTIFS(Rankings!$D$2:$D$987, Rankings!$D108, Rankings!$F$2:$F$987, "&lt;"&amp;Rankings!$F108) + COUNTIFS(Rankings!$D$2:$D$987, Rankings!$D108, Rankings!$F$2:$F$987, Rankings!$F108, Rankings!$G$2:$G$987, "&lt;"&amp;Rankings!$G108)+1, "TBD")</f>
        <v>3</v>
      </c>
      <c r="T108" s="225">
        <v>1.0</v>
      </c>
      <c r="U108" s="225" t="b">
        <f>Rankings!$S108=Rankings!$T108</f>
        <v>0</v>
      </c>
      <c r="V108" s="226"/>
      <c r="W108" s="153"/>
    </row>
    <row r="109" ht="15.75" customHeight="1">
      <c r="A109" s="134"/>
      <c r="B109" s="134"/>
      <c r="C109" s="134"/>
      <c r="D109" s="219">
        <f>D107</f>
        <v>45943</v>
      </c>
      <c r="E109" s="227" t="str">
        <f>$M$1</f>
        <v>Giacomo</v>
      </c>
      <c r="F109" s="220">
        <f>IFERROR(AVERAGE(Rankings!$K109:$R109), "TBD")</f>
        <v>3</v>
      </c>
      <c r="G109" s="220">
        <f>IFERROR(_xlfn.STDEV.P(Rankings!$K109:$R109), "TBD")</f>
        <v>1.772810521</v>
      </c>
      <c r="H109" s="221">
        <f>IFERROR(AVERAGE(Rankings!$K109:$L109, Rankings!$N109:$R109), "TBD")</f>
        <v>3.333333333</v>
      </c>
      <c r="I109" s="222" t="s">
        <v>598</v>
      </c>
      <c r="J109" s="222" t="s">
        <v>599</v>
      </c>
      <c r="K109" s="143">
        <v>6.0</v>
      </c>
      <c r="L109" s="144">
        <v>3.0</v>
      </c>
      <c r="M109" s="144">
        <v>1.0</v>
      </c>
      <c r="N109" s="144">
        <v>3.0</v>
      </c>
      <c r="O109" s="144">
        <v>2.0</v>
      </c>
      <c r="P109" s="144">
        <v>1.0</v>
      </c>
      <c r="Q109" s="122"/>
      <c r="R109" s="223">
        <v>5.0</v>
      </c>
      <c r="S109" s="147">
        <f>IF(SUM(Rankings!$K109:$R109)&gt;0, COUNTIFS(Rankings!$D$2:$D$987, Rankings!$D109, Rankings!$F$2:$F$987, "&lt;"&amp;Rankings!$F109) + COUNTIFS(Rankings!$D$2:$D$987, Rankings!$D109, Rankings!$F$2:$F$987, Rankings!$F109, Rankings!$G$2:$G$987, "&lt;"&amp;Rankings!$G109)+1, "TBD")</f>
        <v>2</v>
      </c>
      <c r="T109" s="225">
        <v>1.0</v>
      </c>
      <c r="U109" s="225" t="b">
        <f>Rankings!$S109=Rankings!$T109</f>
        <v>0</v>
      </c>
      <c r="V109" s="226"/>
      <c r="W109" s="153"/>
    </row>
    <row r="110" ht="15.75" customHeight="1">
      <c r="A110" s="134"/>
      <c r="B110" s="134"/>
      <c r="C110" s="134"/>
      <c r="D110" s="219">
        <f>D107</f>
        <v>45943</v>
      </c>
      <c r="E110" s="227" t="str">
        <f>$N$1</f>
        <v>Rosey</v>
      </c>
      <c r="F110" s="220">
        <f>IFERROR(AVERAGE(Rankings!$K110:$R110), "TBD")</f>
        <v>2.285714286</v>
      </c>
      <c r="G110" s="220">
        <f>IFERROR(_xlfn.STDEV.P(Rankings!$K110:$R110), "TBD")</f>
        <v>1.27775313</v>
      </c>
      <c r="H110" s="221">
        <f>IFERROR(AVERAGE(Rankings!$K110:$M110, Rankings!$O110:$R110), "TBD")</f>
        <v>2.5</v>
      </c>
      <c r="I110" s="222" t="s">
        <v>459</v>
      </c>
      <c r="J110" s="222" t="s">
        <v>602</v>
      </c>
      <c r="K110" s="143">
        <v>2.0</v>
      </c>
      <c r="L110" s="144">
        <v>1.0</v>
      </c>
      <c r="M110" s="144">
        <v>4.0</v>
      </c>
      <c r="N110" s="144">
        <v>1.0</v>
      </c>
      <c r="O110" s="144">
        <v>4.0</v>
      </c>
      <c r="P110" s="144">
        <v>3.0</v>
      </c>
      <c r="Q110" s="122"/>
      <c r="R110" s="223">
        <v>1.0</v>
      </c>
      <c r="S110" s="147">
        <f>IF(SUM(Rankings!$K110:$R110)&gt;0, COUNTIFS(Rankings!$D$2:$D$987, Rankings!$D110, Rankings!$F$2:$F$987, "&lt;"&amp;Rankings!$F110) + COUNTIFS(Rankings!$D$2:$D$987, Rankings!$D110, Rankings!$F$2:$F$987, Rankings!$F110, Rankings!$G$2:$G$987, "&lt;"&amp;Rankings!$G110)+1, "TBD")</f>
        <v>1</v>
      </c>
      <c r="T110" s="225">
        <v>1.0</v>
      </c>
      <c r="U110" s="225" t="b">
        <f>Rankings!$S110=Rankings!$T110</f>
        <v>1</v>
      </c>
      <c r="V110" s="226"/>
      <c r="W110" s="153"/>
    </row>
    <row r="111" ht="15.75" customHeight="1">
      <c r="A111" s="134"/>
      <c r="B111" s="134"/>
      <c r="C111" s="134"/>
      <c r="D111" s="219">
        <f t="shared" ref="D111:D113" si="16">D107</f>
        <v>45943</v>
      </c>
      <c r="E111" s="227" t="str">
        <f>$O$1</f>
        <v>TTAC</v>
      </c>
      <c r="F111" s="220">
        <f>IFERROR(AVERAGE(Rankings!$K111:$R111), "TBD")</f>
        <v>5.142857143</v>
      </c>
      <c r="G111" s="220">
        <f>IFERROR(_xlfn.STDEV.P(Rankings!$K111:$R111), "TBD")</f>
        <v>1.884415137</v>
      </c>
      <c r="H111" s="221">
        <f>IFERROR(AVERAGE(Rankings!$K111:$N111, Rankings!$P111:$R111), "TBD")</f>
        <v>5.833333333</v>
      </c>
      <c r="I111" s="222" t="s">
        <v>607</v>
      </c>
      <c r="J111" s="222" t="s">
        <v>608</v>
      </c>
      <c r="K111" s="143">
        <v>5.0</v>
      </c>
      <c r="L111" s="144">
        <v>5.0</v>
      </c>
      <c r="M111" s="144">
        <v>5.0</v>
      </c>
      <c r="N111" s="144">
        <v>7.0</v>
      </c>
      <c r="O111" s="144">
        <v>1.0</v>
      </c>
      <c r="P111" s="144">
        <v>6.0</v>
      </c>
      <c r="Q111" s="122"/>
      <c r="R111" s="223">
        <v>7.0</v>
      </c>
      <c r="S111" s="147">
        <f>IF(SUM(Rankings!$K111:$R111)&gt;0, COUNTIFS(Rankings!$D$2:$D$987, Rankings!$D111, Rankings!$F$2:$F$987, "&lt;"&amp;Rankings!$F111) + COUNTIFS(Rankings!$D$2:$D$987, Rankings!$D111, Rankings!$F$2:$F$987, Rankings!$F111, Rankings!$G$2:$G$987, "&lt;"&amp;Rankings!$G111)+1, "TBD")</f>
        <v>7</v>
      </c>
      <c r="T111" s="225">
        <v>1.0</v>
      </c>
      <c r="U111" s="225" t="b">
        <f>Rankings!$S111=Rankings!$T111</f>
        <v>0</v>
      </c>
      <c r="V111" s="226"/>
      <c r="W111" s="153"/>
    </row>
    <row r="112" ht="15.75" customHeight="1">
      <c r="A112" s="134"/>
      <c r="B112" s="134"/>
      <c r="C112" s="134"/>
      <c r="D112" s="219">
        <f t="shared" si="16"/>
        <v>45943</v>
      </c>
      <c r="E112" s="227" t="str">
        <f>$P$1</f>
        <v>Weston</v>
      </c>
      <c r="F112" s="220">
        <f>IFERROR(AVERAGE(Rankings!$K112:$R112), "TBD")</f>
        <v>4.428571429</v>
      </c>
      <c r="G112" s="220">
        <f>IFERROR(_xlfn.STDEV.P(Rankings!$K112:$R112), "TBD")</f>
        <v>1.761261144</v>
      </c>
      <c r="H112" s="221">
        <f>IFERROR(AVERAGE(Rankings!$K112:$O112, Rankings!$R112), "TBD")</f>
        <v>4.833333333</v>
      </c>
      <c r="I112" s="222" t="s">
        <v>612</v>
      </c>
      <c r="J112" s="222" t="s">
        <v>613</v>
      </c>
      <c r="K112" s="143">
        <v>4.0</v>
      </c>
      <c r="L112" s="144">
        <v>6.0</v>
      </c>
      <c r="M112" s="144">
        <v>3.0</v>
      </c>
      <c r="N112" s="144">
        <v>6.0</v>
      </c>
      <c r="O112" s="144">
        <v>7.0</v>
      </c>
      <c r="P112" s="144">
        <v>2.0</v>
      </c>
      <c r="Q112" s="122"/>
      <c r="R112" s="223">
        <v>3.0</v>
      </c>
      <c r="S112" s="147">
        <f>IF(SUM(Rankings!$K112:$R112)&gt;0, COUNTIFS(Rankings!$D$2:$D$987, Rankings!$D112, Rankings!$F$2:$F$987, "&lt;"&amp;Rankings!$F112) + COUNTIFS(Rankings!$D$2:$D$987, Rankings!$D112, Rankings!$F$2:$F$987, Rankings!$F112, Rankings!$G$2:$G$987, "&lt;"&amp;Rankings!$G112)+1, "TBD")</f>
        <v>4</v>
      </c>
      <c r="T112" s="225">
        <v>1.0</v>
      </c>
      <c r="U112" s="225" t="b">
        <f>Rankings!$S112=Rankings!$T112</f>
        <v>0</v>
      </c>
      <c r="V112" s="226"/>
      <c r="W112" s="153"/>
    </row>
    <row r="113" ht="15.75" customHeight="1">
      <c r="A113" s="189"/>
      <c r="B113" s="189"/>
      <c r="C113" s="189"/>
      <c r="D113" s="235">
        <f t="shared" si="16"/>
        <v>45943</v>
      </c>
      <c r="E113" s="237" t="str">
        <f>$R$1</f>
        <v>Jake</v>
      </c>
      <c r="F113" s="240">
        <f>IFERROR(AVERAGE(Rankings!$K113:$R113), "TBD")</f>
        <v>5</v>
      </c>
      <c r="G113" s="240">
        <f>IFERROR(_xlfn.STDEV.P(Rankings!$K113:$R113), "TBD")</f>
        <v>2.138089935</v>
      </c>
      <c r="H113" s="242">
        <f>IFERROR(AVERAGE(Rankings!$K113:$P113), "TBD")</f>
        <v>5.5</v>
      </c>
      <c r="I113" s="243" t="s">
        <v>614</v>
      </c>
      <c r="J113" s="243" t="s">
        <v>615</v>
      </c>
      <c r="K113" s="199">
        <v>7.0</v>
      </c>
      <c r="L113" s="201">
        <v>4.0</v>
      </c>
      <c r="M113" s="201">
        <v>7.0</v>
      </c>
      <c r="N113" s="201">
        <v>2.0</v>
      </c>
      <c r="O113" s="201">
        <v>6.0</v>
      </c>
      <c r="P113" s="201">
        <v>7.0</v>
      </c>
      <c r="Q113" s="122"/>
      <c r="R113" s="244">
        <v>2.0</v>
      </c>
      <c r="S113" s="203">
        <f>IF(SUM(Rankings!$K113:$R113)&gt;0, COUNTIFS(Rankings!$D$2:$D$987, Rankings!$D113, Rankings!$F$2:$F$987, "&lt;"&amp;Rankings!$F113) + COUNTIFS(Rankings!$D$2:$D$987, Rankings!$D113, Rankings!$F$2:$F$987, Rankings!$F113, Rankings!$G$2:$G$987, "&lt;"&amp;Rankings!$G113)+1, "TBD")</f>
        <v>6</v>
      </c>
      <c r="T113" s="247">
        <v>1.0</v>
      </c>
      <c r="U113" s="247" t="b">
        <f>Rankings!$S113=Rankings!$T113</f>
        <v>0</v>
      </c>
      <c r="V113" s="248"/>
      <c r="W113" s="208"/>
    </row>
    <row r="114" ht="15.75" customHeight="1">
      <c r="A114" s="103">
        <v>45945.0</v>
      </c>
      <c r="B114" s="104"/>
      <c r="C114" s="104" t="str">
        <f t="array" ref="C114">INDEX(Rankings!$E114:$E120, MATCH(1, (Rankings!$D114:$D120=$A114)*(Rankings!$U114:$U120=TRUE()), 0))</f>
        <v>Rosey</v>
      </c>
      <c r="D114" s="111">
        <f>A114</f>
        <v>45945</v>
      </c>
      <c r="E114" s="113" t="str">
        <f>$K$1</f>
        <v>Logan</v>
      </c>
      <c r="F114" s="115">
        <f>IFERROR(AVERAGE(Rankings!$K114:$R114), "TBD")</f>
        <v>4.428571429</v>
      </c>
      <c r="G114" s="115">
        <f>IFERROR(_xlfn.STDEV.P(Rankings!$K114:$R114), "TBD")</f>
        <v>2.060315015</v>
      </c>
      <c r="H114" s="117">
        <f>IFERROR(AVERAGE(Rankings!$L114:$R114), "TBD")</f>
        <v>5</v>
      </c>
      <c r="I114" s="119" t="s">
        <v>616</v>
      </c>
      <c r="J114" s="119" t="s">
        <v>617</v>
      </c>
      <c r="K114" s="120">
        <v>1.0</v>
      </c>
      <c r="L114" s="121">
        <v>4.0</v>
      </c>
      <c r="M114" s="121">
        <v>7.0</v>
      </c>
      <c r="N114" s="121">
        <v>2.0</v>
      </c>
      <c r="O114" s="121">
        <v>5.0</v>
      </c>
      <c r="P114" s="121">
        <v>6.0</v>
      </c>
      <c r="Q114" s="122"/>
      <c r="R114" s="216">
        <v>6.0</v>
      </c>
      <c r="S114" s="126">
        <f>IF(SUM(Rankings!$K114:$R114)&gt;0, COUNTIFS(Rankings!$D$2:$D$987, Rankings!$D114, Rankings!$F$2:$F$987, "&lt;"&amp;Rankings!$F114) + COUNTIFS(Rankings!$D$2:$D$987, Rankings!$D114, Rankings!$F$2:$F$987, Rankings!$F114, Rankings!$G$2:$G$987, "&lt;"&amp;Rankings!$G114)+1, "TBD")</f>
        <v>6</v>
      </c>
      <c r="T114" s="217">
        <v>1.0</v>
      </c>
      <c r="U114" s="217" t="b">
        <f>Rankings!$S114=Rankings!$T114</f>
        <v>0</v>
      </c>
      <c r="V114" s="133"/>
      <c r="W114" s="133"/>
    </row>
    <row r="115" ht="15.75" customHeight="1">
      <c r="A115" s="134"/>
      <c r="B115" s="134"/>
      <c r="C115" s="134"/>
      <c r="D115" s="219">
        <f>D114</f>
        <v>45945</v>
      </c>
      <c r="E115" s="138" t="str">
        <f>$L$1</f>
        <v>Parker</v>
      </c>
      <c r="F115" s="220">
        <f>IFERROR(AVERAGE(Rankings!$K115:$R115), "TBD")</f>
        <v>3.285714286</v>
      </c>
      <c r="G115" s="220">
        <f>IFERROR(_xlfn.STDEV.P(Rankings!$K115:$R115), "TBD")</f>
        <v>1.27775313</v>
      </c>
      <c r="H115" s="221">
        <f>IFERROR(AVERAGE(Rankings!$K115, Rankings!$M115:$R115), "TBD")</f>
        <v>3.5</v>
      </c>
      <c r="I115" s="222" t="s">
        <v>618</v>
      </c>
      <c r="J115" s="222" t="s">
        <v>619</v>
      </c>
      <c r="K115" s="143">
        <v>4.0</v>
      </c>
      <c r="L115" s="144">
        <v>2.0</v>
      </c>
      <c r="M115" s="144">
        <v>4.0</v>
      </c>
      <c r="N115" s="144">
        <v>5.0</v>
      </c>
      <c r="O115" s="144">
        <v>1.0</v>
      </c>
      <c r="P115" s="144">
        <v>3.0</v>
      </c>
      <c r="Q115" s="122"/>
      <c r="R115" s="223">
        <v>4.0</v>
      </c>
      <c r="S115" s="147">
        <f>IF(SUM(Rankings!$K115:$R115)&gt;0, COUNTIFS(Rankings!$D$2:$D$987, Rankings!$D115, Rankings!$F$2:$F$987, "&lt;"&amp;Rankings!$F115) + COUNTIFS(Rankings!$D$2:$D$987, Rankings!$D115, Rankings!$F$2:$F$987, Rankings!$F115, Rankings!$G$2:$G$987, "&lt;"&amp;Rankings!$G115)+1, "TBD")</f>
        <v>2</v>
      </c>
      <c r="T115" s="225">
        <v>1.0</v>
      </c>
      <c r="U115" s="225" t="b">
        <f>Rankings!$S115=Rankings!$T115</f>
        <v>0</v>
      </c>
      <c r="V115" s="226"/>
      <c r="W115" s="153"/>
    </row>
    <row r="116" ht="15.75" customHeight="1">
      <c r="A116" s="134"/>
      <c r="B116" s="134"/>
      <c r="C116" s="134"/>
      <c r="D116" s="219">
        <f>D114</f>
        <v>45945</v>
      </c>
      <c r="E116" s="227" t="str">
        <f>$M$1</f>
        <v>Giacomo</v>
      </c>
      <c r="F116" s="220">
        <f>IFERROR(AVERAGE(Rankings!$K116:$R116), "TBD")</f>
        <v>3.714285714</v>
      </c>
      <c r="G116" s="220">
        <f>IFERROR(_xlfn.STDEV.P(Rankings!$K116:$R116), "TBD")</f>
        <v>1.979486637</v>
      </c>
      <c r="H116" s="221">
        <f>IFERROR(AVERAGE(Rankings!$K116:$L116, Rankings!$N116:$R116), "TBD")</f>
        <v>4</v>
      </c>
      <c r="I116" s="222" t="s">
        <v>620</v>
      </c>
      <c r="J116" s="222" t="s">
        <v>621</v>
      </c>
      <c r="K116" s="143">
        <v>3.0</v>
      </c>
      <c r="L116" s="144">
        <v>3.0</v>
      </c>
      <c r="M116" s="144">
        <v>2.0</v>
      </c>
      <c r="N116" s="144">
        <v>6.0</v>
      </c>
      <c r="O116" s="144">
        <v>7.0</v>
      </c>
      <c r="P116" s="144">
        <v>4.0</v>
      </c>
      <c r="Q116" s="122"/>
      <c r="R116" s="223">
        <v>1.0</v>
      </c>
      <c r="S116" s="147">
        <f>IF(SUM(Rankings!$K116:$R116)&gt;0, COUNTIFS(Rankings!$D$2:$D$987, Rankings!$D116, Rankings!$F$2:$F$987, "&lt;"&amp;Rankings!$F116) + COUNTIFS(Rankings!$D$2:$D$987, Rankings!$D116, Rankings!$F$2:$F$987, Rankings!$F116, Rankings!$G$2:$G$987, "&lt;"&amp;Rankings!$G116)+1, "TBD")</f>
        <v>3</v>
      </c>
      <c r="T116" s="225">
        <v>1.0</v>
      </c>
      <c r="U116" s="225" t="b">
        <f>Rankings!$S116=Rankings!$T116</f>
        <v>0</v>
      </c>
      <c r="V116" s="226"/>
      <c r="W116" s="153"/>
    </row>
    <row r="117" ht="15.75" customHeight="1">
      <c r="A117" s="134"/>
      <c r="B117" s="134"/>
      <c r="C117" s="134"/>
      <c r="D117" s="219">
        <f>D114</f>
        <v>45945</v>
      </c>
      <c r="E117" s="227" t="str">
        <f>$N$1</f>
        <v>Rosey</v>
      </c>
      <c r="F117" s="220">
        <f>IFERROR(AVERAGE(Rankings!$K117:$R117), "TBD")</f>
        <v>2.857142857</v>
      </c>
      <c r="G117" s="220">
        <f>IFERROR(_xlfn.STDEV.P(Rankings!$K117:$R117), "TBD")</f>
        <v>1.456862718</v>
      </c>
      <c r="H117" s="221">
        <f>IFERROR(AVERAGE(Rankings!$K117:$M117, Rankings!$O117:$R117), "TBD")</f>
        <v>3.166666667</v>
      </c>
      <c r="I117" s="222" t="s">
        <v>451</v>
      </c>
      <c r="J117" s="222" t="s">
        <v>622</v>
      </c>
      <c r="K117" s="143">
        <v>2.0</v>
      </c>
      <c r="L117" s="144">
        <v>6.0</v>
      </c>
      <c r="M117" s="144">
        <v>3.0</v>
      </c>
      <c r="N117" s="144">
        <v>1.0</v>
      </c>
      <c r="O117" s="144">
        <v>3.0</v>
      </c>
      <c r="P117" s="144">
        <v>2.0</v>
      </c>
      <c r="Q117" s="122"/>
      <c r="R117" s="223">
        <v>3.0</v>
      </c>
      <c r="S117" s="147">
        <f>IF(SUM(Rankings!$K117:$R117)&gt;0, COUNTIFS(Rankings!$D$2:$D$987, Rankings!$D117, Rankings!$F$2:$F$987, "&lt;"&amp;Rankings!$F117) + COUNTIFS(Rankings!$D$2:$D$987, Rankings!$D117, Rankings!$F$2:$F$987, Rankings!$F117, Rankings!$G$2:$G$987, "&lt;"&amp;Rankings!$G117)+1, "TBD")</f>
        <v>1</v>
      </c>
      <c r="T117" s="225">
        <v>1.0</v>
      </c>
      <c r="U117" s="225" t="b">
        <f>Rankings!$S117=Rankings!$T117</f>
        <v>1</v>
      </c>
      <c r="V117" s="226"/>
      <c r="W117" s="153"/>
    </row>
    <row r="118" ht="15.75" customHeight="1">
      <c r="A118" s="134"/>
      <c r="B118" s="134"/>
      <c r="C118" s="134"/>
      <c r="D118" s="219">
        <f t="shared" ref="D118:D120" si="17">D114</f>
        <v>45945</v>
      </c>
      <c r="E118" s="227" t="str">
        <f>$O$1</f>
        <v>TTAC</v>
      </c>
      <c r="F118" s="220">
        <f>IFERROR(AVERAGE(Rankings!$K118:$R118), "TBD")</f>
        <v>5.857142857</v>
      </c>
      <c r="G118" s="220">
        <f>IFERROR(_xlfn.STDEV.P(Rankings!$K118:$R118), "TBD")</f>
        <v>1.124858268</v>
      </c>
      <c r="H118" s="221">
        <f>IFERROR(AVERAGE(Rankings!$K118:$N118, Rankings!$P118:$R118), "TBD")</f>
        <v>6.166666667</v>
      </c>
      <c r="I118" s="222" t="s">
        <v>623</v>
      </c>
      <c r="J118" s="222" t="s">
        <v>624</v>
      </c>
      <c r="K118" s="143">
        <v>7.0</v>
      </c>
      <c r="L118" s="144">
        <v>7.0</v>
      </c>
      <c r="M118" s="144">
        <v>6.0</v>
      </c>
      <c r="N118" s="144">
        <v>7.0</v>
      </c>
      <c r="O118" s="144">
        <v>4.0</v>
      </c>
      <c r="P118" s="144">
        <v>5.0</v>
      </c>
      <c r="Q118" s="122"/>
      <c r="R118" s="223">
        <v>5.0</v>
      </c>
      <c r="S118" s="147">
        <f>IF(SUM(Rankings!$K118:$R118)&gt;0, COUNTIFS(Rankings!$D$2:$D$987, Rankings!$D118, Rankings!$F$2:$F$987, "&lt;"&amp;Rankings!$F118) + COUNTIFS(Rankings!$D$2:$D$987, Rankings!$D118, Rankings!$F$2:$F$987, Rankings!$F118, Rankings!$G$2:$G$987, "&lt;"&amp;Rankings!$G118)+1, "TBD")</f>
        <v>7</v>
      </c>
      <c r="T118" s="225">
        <v>1.0</v>
      </c>
      <c r="U118" s="225" t="b">
        <f>Rankings!$S118=Rankings!$T118</f>
        <v>0</v>
      </c>
      <c r="V118" s="226"/>
      <c r="W118" s="153"/>
    </row>
    <row r="119" ht="15.75" customHeight="1">
      <c r="A119" s="134"/>
      <c r="B119" s="134"/>
      <c r="C119" s="134"/>
      <c r="D119" s="219">
        <f t="shared" si="17"/>
        <v>45945</v>
      </c>
      <c r="E119" s="227" t="str">
        <f>$P$1</f>
        <v>Weston</v>
      </c>
      <c r="F119" s="220">
        <f>IFERROR(AVERAGE(Rankings!$K119:$R119), "TBD")</f>
        <v>3.714285714</v>
      </c>
      <c r="G119" s="220">
        <f>IFERROR(_xlfn.STDEV.P(Rankings!$K119:$R119), "TBD")</f>
        <v>2.490799396</v>
      </c>
      <c r="H119" s="221">
        <f>IFERROR(AVERAGE(Rankings!$K119:$O119, Rankings!$R119), "TBD")</f>
        <v>4.166666667</v>
      </c>
      <c r="I119" s="222" t="s">
        <v>625</v>
      </c>
      <c r="J119" s="222" t="s">
        <v>626</v>
      </c>
      <c r="K119" s="143">
        <v>6.0</v>
      </c>
      <c r="L119" s="144">
        <v>1.0</v>
      </c>
      <c r="M119" s="144">
        <v>1.0</v>
      </c>
      <c r="N119" s="144">
        <v>4.0</v>
      </c>
      <c r="O119" s="144">
        <v>6.0</v>
      </c>
      <c r="P119" s="144">
        <v>1.0</v>
      </c>
      <c r="Q119" s="122"/>
      <c r="R119" s="223">
        <v>7.0</v>
      </c>
      <c r="S119" s="147">
        <f>IF(SUM(Rankings!$K119:$R119)&gt;0, COUNTIFS(Rankings!$D$2:$D$987, Rankings!$D119, Rankings!$F$2:$F$987, "&lt;"&amp;Rankings!$F119) + COUNTIFS(Rankings!$D$2:$D$987, Rankings!$D119, Rankings!$F$2:$F$987, Rankings!$F119, Rankings!$G$2:$G$987, "&lt;"&amp;Rankings!$G119)+1, "TBD")</f>
        <v>4</v>
      </c>
      <c r="T119" s="225">
        <v>1.0</v>
      </c>
      <c r="U119" s="225" t="b">
        <f>Rankings!$S119=Rankings!$T119</f>
        <v>0</v>
      </c>
      <c r="V119" s="226"/>
      <c r="W119" s="153"/>
    </row>
    <row r="120" ht="15.75" customHeight="1">
      <c r="A120" s="189"/>
      <c r="B120" s="189"/>
      <c r="C120" s="189"/>
      <c r="D120" s="235">
        <f t="shared" si="17"/>
        <v>45945</v>
      </c>
      <c r="E120" s="237" t="str">
        <f>$R$1</f>
        <v>Jake</v>
      </c>
      <c r="F120" s="240">
        <f>IFERROR(AVERAGE(Rankings!$K120:$R120), "TBD")</f>
        <v>4.142857143</v>
      </c>
      <c r="G120" s="240">
        <f>IFERROR(_xlfn.STDEV.P(Rankings!$K120:$R120), "TBD")</f>
        <v>1.726149425</v>
      </c>
      <c r="H120" s="242">
        <f>IFERROR(AVERAGE(Rankings!$K120:$P120), "TBD")</f>
        <v>4.5</v>
      </c>
      <c r="I120" s="243" t="s">
        <v>627</v>
      </c>
      <c r="J120" s="243" t="s">
        <v>628</v>
      </c>
      <c r="K120" s="199">
        <v>5.0</v>
      </c>
      <c r="L120" s="201">
        <v>5.0</v>
      </c>
      <c r="M120" s="201">
        <v>5.0</v>
      </c>
      <c r="N120" s="201">
        <v>3.0</v>
      </c>
      <c r="O120" s="201">
        <v>2.0</v>
      </c>
      <c r="P120" s="201">
        <v>7.0</v>
      </c>
      <c r="Q120" s="122"/>
      <c r="R120" s="244">
        <v>2.0</v>
      </c>
      <c r="S120" s="203">
        <f>IF(SUM(Rankings!$K120:$R120)&gt;0, COUNTIFS(Rankings!$D$2:$D$987, Rankings!$D120, Rankings!$F$2:$F$987, "&lt;"&amp;Rankings!$F120) + COUNTIFS(Rankings!$D$2:$D$987, Rankings!$D120, Rankings!$F$2:$F$987, Rankings!$F120, Rankings!$G$2:$G$987, "&lt;"&amp;Rankings!$G120)+1, "TBD")</f>
        <v>5</v>
      </c>
      <c r="T120" s="247">
        <v>1.0</v>
      </c>
      <c r="U120" s="247" t="b">
        <f>Rankings!$S120=Rankings!$T120</f>
        <v>0</v>
      </c>
      <c r="V120" s="248"/>
      <c r="W120" s="208"/>
    </row>
    <row r="121" ht="15.75" customHeight="1">
      <c r="A121" s="103">
        <v>45947.0</v>
      </c>
      <c r="B121" s="104"/>
      <c r="C121" s="104" t="str">
        <f t="array" ref="C121">INDEX(Rankings!$E121:$E127, MATCH(1, (Rankings!$D121:$D127=$A121)*(Rankings!$U121:$U127=TRUE()), 0))</f>
        <v>Parker</v>
      </c>
      <c r="D121" s="111">
        <f>A121</f>
        <v>45947</v>
      </c>
      <c r="E121" s="113" t="str">
        <f>$K$1</f>
        <v>Logan</v>
      </c>
      <c r="F121" s="115">
        <f>IFERROR(AVERAGE(Rankings!$K121:$R121), "TBD")</f>
        <v>4.428571429</v>
      </c>
      <c r="G121" s="115">
        <f>IFERROR(_xlfn.STDEV.P(Rankings!$K121:$R121), "TBD")</f>
        <v>1.049781318</v>
      </c>
      <c r="H121" s="117">
        <f>IFERROR(AVERAGE(Rankings!$L121:$R121), "TBD")</f>
        <v>4.666666667</v>
      </c>
      <c r="I121" s="119" t="s">
        <v>629</v>
      </c>
      <c r="J121" s="119" t="s">
        <v>630</v>
      </c>
      <c r="K121" s="120">
        <v>3.0</v>
      </c>
      <c r="L121" s="121">
        <v>3.0</v>
      </c>
      <c r="M121" s="121">
        <v>5.0</v>
      </c>
      <c r="N121" s="121">
        <v>4.0</v>
      </c>
      <c r="O121" s="121">
        <v>5.0</v>
      </c>
      <c r="P121" s="121">
        <v>6.0</v>
      </c>
      <c r="Q121" s="122"/>
      <c r="R121" s="216">
        <v>5.0</v>
      </c>
      <c r="S121" s="126">
        <f>IF(SUM(Rankings!$K121:$R121)&gt;0, COUNTIFS(Rankings!$D$2:$D$987, Rankings!$D121, Rankings!$F$2:$F$987, "&lt;"&amp;Rankings!$F121) + COUNTIFS(Rankings!$D$2:$D$987, Rankings!$D121, Rankings!$F$2:$F$987, Rankings!$F121, Rankings!$G$2:$G$987, "&lt;"&amp;Rankings!$G121)+1, "TBD")</f>
        <v>6</v>
      </c>
      <c r="T121" s="217">
        <v>1.0</v>
      </c>
      <c r="U121" s="217" t="b">
        <f>Rankings!$S121=Rankings!$T121</f>
        <v>0</v>
      </c>
      <c r="V121" s="329"/>
      <c r="W121" s="329" t="s">
        <v>631</v>
      </c>
    </row>
    <row r="122" ht="15.75" customHeight="1">
      <c r="A122" s="134"/>
      <c r="B122" s="134"/>
      <c r="C122" s="134"/>
      <c r="D122" s="219">
        <f>D121</f>
        <v>45947</v>
      </c>
      <c r="E122" s="138" t="str">
        <f>$L$1</f>
        <v>Parker</v>
      </c>
      <c r="F122" s="220">
        <f>IFERROR(AVERAGE(Rankings!$K122:$R122), "TBD")</f>
        <v>2.857142857</v>
      </c>
      <c r="G122" s="220">
        <f>IFERROR(_xlfn.STDEV.P(Rankings!$K122:$R122), "TBD")</f>
        <v>1.807015806</v>
      </c>
      <c r="H122" s="221">
        <f>IFERROR(AVERAGE(Rankings!$K122, Rankings!$M122:$R122), "TBD")</f>
        <v>3.166666667</v>
      </c>
      <c r="I122" s="222" t="s">
        <v>101</v>
      </c>
      <c r="J122" s="222" t="s">
        <v>632</v>
      </c>
      <c r="K122" s="143">
        <v>5.0</v>
      </c>
      <c r="L122" s="144">
        <v>1.0</v>
      </c>
      <c r="M122" s="144">
        <v>1.0</v>
      </c>
      <c r="N122" s="144">
        <v>6.0</v>
      </c>
      <c r="O122" s="144">
        <v>2.0</v>
      </c>
      <c r="P122" s="144">
        <v>2.0</v>
      </c>
      <c r="Q122" s="122"/>
      <c r="R122" s="223">
        <v>3.0</v>
      </c>
      <c r="S122" s="147">
        <f>IF(SUM(Rankings!$K122:$R122)&gt;0, COUNTIFS(Rankings!$D$2:$D$987, Rankings!$D122, Rankings!$F$2:$F$987, "&lt;"&amp;Rankings!$F122) + COUNTIFS(Rankings!$D$2:$D$987, Rankings!$D122, Rankings!$F$2:$F$987, Rankings!$F122, Rankings!$G$2:$G$987, "&lt;"&amp;Rankings!$G122)+1, "TBD")</f>
        <v>1</v>
      </c>
      <c r="T122" s="225">
        <v>1.0</v>
      </c>
      <c r="U122" s="225" t="b">
        <f>Rankings!$S122=Rankings!$T122</f>
        <v>1</v>
      </c>
      <c r="V122" s="330"/>
      <c r="W122" s="153"/>
    </row>
    <row r="123" ht="15.75" customHeight="1">
      <c r="A123" s="134"/>
      <c r="B123" s="134"/>
      <c r="C123" s="134"/>
      <c r="D123" s="219">
        <f>D121</f>
        <v>45947</v>
      </c>
      <c r="E123" s="227" t="str">
        <f>$M$1</f>
        <v>Giacomo</v>
      </c>
      <c r="F123" s="220">
        <f>IFERROR(AVERAGE(Rankings!$K123:$R123), "TBD")</f>
        <v>6.285714286</v>
      </c>
      <c r="G123" s="220">
        <f>IFERROR(_xlfn.STDEV.P(Rankings!$K123:$R123), "TBD")</f>
        <v>1.749635531</v>
      </c>
      <c r="H123" s="221">
        <f>IFERROR(AVERAGE(Rankings!$K123:$L123, Rankings!$N123:$R123), "TBD")</f>
        <v>7</v>
      </c>
      <c r="I123" s="222" t="s">
        <v>633</v>
      </c>
      <c r="J123" s="391" t="s">
        <v>634</v>
      </c>
      <c r="K123" s="143">
        <v>7.0</v>
      </c>
      <c r="L123" s="144">
        <v>7.0</v>
      </c>
      <c r="M123" s="144">
        <v>2.0</v>
      </c>
      <c r="N123" s="144">
        <v>7.0</v>
      </c>
      <c r="O123" s="144">
        <v>7.0</v>
      </c>
      <c r="P123" s="144">
        <v>7.0</v>
      </c>
      <c r="Q123" s="122"/>
      <c r="R123" s="223">
        <v>7.0</v>
      </c>
      <c r="S123" s="147">
        <f>IF(SUM(Rankings!$K123:$R123)&gt;0, COUNTIFS(Rankings!$D$2:$D$987, Rankings!$D123, Rankings!$F$2:$F$987, "&lt;"&amp;Rankings!$F123) + COUNTIFS(Rankings!$D$2:$D$987, Rankings!$D123, Rankings!$F$2:$F$987, Rankings!$F123, Rankings!$G$2:$G$987, "&lt;"&amp;Rankings!$G123)+1, "TBD")</f>
        <v>7</v>
      </c>
      <c r="T123" s="225">
        <v>1.0</v>
      </c>
      <c r="U123" s="225" t="b">
        <f>Rankings!$S123=Rankings!$T123</f>
        <v>0</v>
      </c>
      <c r="V123" s="330"/>
      <c r="W123" s="153"/>
    </row>
    <row r="124" ht="15.75" customHeight="1">
      <c r="A124" s="134"/>
      <c r="B124" s="134"/>
      <c r="C124" s="134"/>
      <c r="D124" s="219">
        <f>D121</f>
        <v>45947</v>
      </c>
      <c r="E124" s="227" t="str">
        <f>$N$1</f>
        <v>Rosey</v>
      </c>
      <c r="F124" s="220">
        <f>IFERROR(AVERAGE(Rankings!$K124:$R124), "TBD")</f>
        <v>3</v>
      </c>
      <c r="G124" s="220">
        <f>IFERROR(_xlfn.STDEV.P(Rankings!$K124:$R124), "TBD")</f>
        <v>2.138089935</v>
      </c>
      <c r="H124" s="221">
        <f>IFERROR(AVERAGE(Rankings!$K124:$M124, Rankings!$O124:$R124), "TBD")</f>
        <v>3.333333333</v>
      </c>
      <c r="I124" s="222" t="s">
        <v>635</v>
      </c>
      <c r="J124" s="222" t="s">
        <v>636</v>
      </c>
      <c r="K124" s="143">
        <v>2.0</v>
      </c>
      <c r="L124" s="144">
        <v>4.0</v>
      </c>
      <c r="M124" s="144">
        <v>6.0</v>
      </c>
      <c r="N124" s="144">
        <v>1.0</v>
      </c>
      <c r="O124" s="144">
        <v>1.0</v>
      </c>
      <c r="P124" s="144">
        <v>1.0</v>
      </c>
      <c r="Q124" s="122"/>
      <c r="R124" s="223">
        <v>6.0</v>
      </c>
      <c r="S124" s="147">
        <f>IF(SUM(Rankings!$K124:$R124)&gt;0, COUNTIFS(Rankings!$D$2:$D$987, Rankings!$D124, Rankings!$F$2:$F$987, "&lt;"&amp;Rankings!$F124) + COUNTIFS(Rankings!$D$2:$D$987, Rankings!$D124, Rankings!$F$2:$F$987, Rankings!$F124, Rankings!$G$2:$G$987, "&lt;"&amp;Rankings!$G124)+1, "TBD")</f>
        <v>2</v>
      </c>
      <c r="T124" s="225">
        <v>1.0</v>
      </c>
      <c r="U124" s="225" t="b">
        <f>Rankings!$S124=Rankings!$T124</f>
        <v>0</v>
      </c>
      <c r="V124" s="330"/>
      <c r="W124" s="153"/>
    </row>
    <row r="125" ht="15.75" customHeight="1">
      <c r="A125" s="134"/>
      <c r="B125" s="134"/>
      <c r="C125" s="134"/>
      <c r="D125" s="219">
        <f t="shared" ref="D125:D127" si="18">D121</f>
        <v>45947</v>
      </c>
      <c r="E125" s="227" t="str">
        <f>$O$1</f>
        <v>TTAC</v>
      </c>
      <c r="F125" s="220">
        <f>IFERROR(AVERAGE(Rankings!$K125:$R125), "TBD")</f>
        <v>3.857142857</v>
      </c>
      <c r="G125" s="220">
        <f>IFERROR(_xlfn.STDEV.P(Rankings!$K125:$R125), "TBD")</f>
        <v>1.245399698</v>
      </c>
      <c r="H125" s="221">
        <f>IFERROR(AVERAGE(Rankings!$K125:$N125, Rankings!$P125:$R125), "TBD")</f>
        <v>4</v>
      </c>
      <c r="I125" s="222" t="s">
        <v>637</v>
      </c>
      <c r="J125" s="222" t="s">
        <v>638</v>
      </c>
      <c r="K125" s="143">
        <v>6.0</v>
      </c>
      <c r="L125" s="144">
        <v>2.0</v>
      </c>
      <c r="M125" s="144">
        <v>4.0</v>
      </c>
      <c r="N125" s="144">
        <v>3.0</v>
      </c>
      <c r="O125" s="144">
        <v>3.0</v>
      </c>
      <c r="P125" s="144">
        <v>5.0</v>
      </c>
      <c r="Q125" s="122"/>
      <c r="R125" s="223">
        <v>4.0</v>
      </c>
      <c r="S125" s="147">
        <f>IF(SUM(Rankings!$K125:$R125)&gt;0, COUNTIFS(Rankings!$D$2:$D$987, Rankings!$D125, Rankings!$F$2:$F$987, "&lt;"&amp;Rankings!$F125) + COUNTIFS(Rankings!$D$2:$D$987, Rankings!$D125, Rankings!$F$2:$F$987, Rankings!$F125, Rankings!$G$2:$G$987, "&lt;"&amp;Rankings!$G125)+1, "TBD")</f>
        <v>4</v>
      </c>
      <c r="T125" s="225">
        <v>1.0</v>
      </c>
      <c r="U125" s="225" t="b">
        <f>Rankings!$S125=Rankings!$T125</f>
        <v>0</v>
      </c>
      <c r="V125" s="330"/>
      <c r="W125" s="153"/>
    </row>
    <row r="126" ht="15.75" customHeight="1">
      <c r="A126" s="134"/>
      <c r="B126" s="134"/>
      <c r="C126" s="134"/>
      <c r="D126" s="219">
        <f t="shared" si="18"/>
        <v>45947</v>
      </c>
      <c r="E126" s="227" t="str">
        <f>$P$1</f>
        <v>Weston</v>
      </c>
      <c r="F126" s="220">
        <f>IFERROR(AVERAGE(Rankings!$K126:$R126), "TBD")</f>
        <v>3.857142857</v>
      </c>
      <c r="G126" s="220">
        <f>IFERROR(_xlfn.STDEV.P(Rankings!$K126:$R126), "TBD")</f>
        <v>1.551825784</v>
      </c>
      <c r="H126" s="221">
        <f>IFERROR(AVERAGE(Rankings!$K126:$O126, Rankings!$R126), "TBD")</f>
        <v>4</v>
      </c>
      <c r="I126" s="222" t="s">
        <v>639</v>
      </c>
      <c r="J126" s="222" t="s">
        <v>640</v>
      </c>
      <c r="K126" s="143">
        <v>4.0</v>
      </c>
      <c r="L126" s="144">
        <v>5.0</v>
      </c>
      <c r="M126" s="144">
        <v>3.0</v>
      </c>
      <c r="N126" s="144">
        <v>5.0</v>
      </c>
      <c r="O126" s="144">
        <v>6.0</v>
      </c>
      <c r="P126" s="144">
        <v>3.0</v>
      </c>
      <c r="Q126" s="122"/>
      <c r="R126" s="223">
        <v>1.0</v>
      </c>
      <c r="S126" s="147">
        <f>IF(SUM(Rankings!$K126:$R126)&gt;0, COUNTIFS(Rankings!$D$2:$D$987, Rankings!$D126, Rankings!$F$2:$F$987, "&lt;"&amp;Rankings!$F126) + COUNTIFS(Rankings!$D$2:$D$987, Rankings!$D126, Rankings!$F$2:$F$987, Rankings!$F126, Rankings!$G$2:$G$987, "&lt;"&amp;Rankings!$G126)+1, "TBD")</f>
        <v>5</v>
      </c>
      <c r="T126" s="225">
        <v>1.0</v>
      </c>
      <c r="U126" s="225" t="b">
        <f>Rankings!$S126=Rankings!$T126</f>
        <v>0</v>
      </c>
      <c r="V126" s="330"/>
      <c r="W126" s="153"/>
    </row>
    <row r="127" ht="15.75" customHeight="1">
      <c r="A127" s="189"/>
      <c r="B127" s="189"/>
      <c r="C127" s="189"/>
      <c r="D127" s="235">
        <f t="shared" si="18"/>
        <v>45947</v>
      </c>
      <c r="E127" s="237" t="str">
        <f>$R$1</f>
        <v>Jake</v>
      </c>
      <c r="F127" s="240">
        <f>IFERROR(AVERAGE(Rankings!$K127:$R127), "TBD")</f>
        <v>3.714285714</v>
      </c>
      <c r="G127" s="240">
        <f>IFERROR(_xlfn.STDEV.P(Rankings!$K127:$R127), "TBD")</f>
        <v>2.050385728</v>
      </c>
      <c r="H127" s="242">
        <f>IFERROR(AVERAGE(Rankings!$K127:$P127), "TBD")</f>
        <v>4</v>
      </c>
      <c r="I127" s="243" t="s">
        <v>641</v>
      </c>
      <c r="J127" s="243" t="s">
        <v>642</v>
      </c>
      <c r="K127" s="199">
        <v>1.0</v>
      </c>
      <c r="L127" s="201">
        <v>6.0</v>
      </c>
      <c r="M127" s="201">
        <v>7.0</v>
      </c>
      <c r="N127" s="201">
        <v>2.0</v>
      </c>
      <c r="O127" s="201">
        <v>4.0</v>
      </c>
      <c r="P127" s="201">
        <v>4.0</v>
      </c>
      <c r="Q127" s="122"/>
      <c r="R127" s="244">
        <v>2.0</v>
      </c>
      <c r="S127" s="203">
        <f>IF(SUM(Rankings!$K127:$R127)&gt;0, COUNTIFS(Rankings!$D$2:$D$987, Rankings!$D127, Rankings!$F$2:$F$987, "&lt;"&amp;Rankings!$F127) + COUNTIFS(Rankings!$D$2:$D$987, Rankings!$D127, Rankings!$F$2:$F$987, Rankings!$F127, Rankings!$G$2:$G$987, "&lt;"&amp;Rankings!$G127)+1, "TBD")</f>
        <v>3</v>
      </c>
      <c r="T127" s="247">
        <v>1.0</v>
      </c>
      <c r="U127" s="247" t="b">
        <f>Rankings!$S127=Rankings!$T127</f>
        <v>0</v>
      </c>
      <c r="V127" s="344"/>
      <c r="W127" s="208"/>
    </row>
    <row r="128" ht="15.75" customHeight="1">
      <c r="A128" s="103">
        <v>45950.0</v>
      </c>
      <c r="B128" s="104"/>
      <c r="C128" s="104" t="str">
        <f t="array" ref="C128">INDEX(Rankings!$E128:$E134, MATCH(1, (Rankings!$D128:$D134=$A128)*(Rankings!$U128:$U134=TRUE()), 0))</f>
        <v>Rosey</v>
      </c>
      <c r="D128" s="111">
        <f>A128</f>
        <v>45950</v>
      </c>
      <c r="E128" s="113" t="str">
        <f>$K$1</f>
        <v>Logan</v>
      </c>
      <c r="F128" s="115">
        <f>IFERROR(AVERAGE(Rankings!$K128:$R128), "TBD")</f>
        <v>3.571428571</v>
      </c>
      <c r="G128" s="115">
        <f>IFERROR(_xlfn.STDEV.P(Rankings!$K128:$R128), "TBD")</f>
        <v>2.498979384</v>
      </c>
      <c r="H128" s="117">
        <f>IFERROR(AVERAGE(Rankings!$L128:$R128), "TBD")</f>
        <v>4</v>
      </c>
      <c r="I128" s="119" t="s">
        <v>643</v>
      </c>
      <c r="J128" s="119" t="s">
        <v>644</v>
      </c>
      <c r="K128" s="120">
        <v>1.0</v>
      </c>
      <c r="L128" s="121">
        <v>6.0</v>
      </c>
      <c r="M128" s="121">
        <v>1.0</v>
      </c>
      <c r="N128" s="121">
        <v>3.0</v>
      </c>
      <c r="O128" s="121">
        <v>7.0</v>
      </c>
      <c r="P128" s="121">
        <v>1.0</v>
      </c>
      <c r="Q128" s="122"/>
      <c r="R128" s="216">
        <v>6.0</v>
      </c>
      <c r="S128" s="126">
        <f>IF(SUM(Rankings!$K128:$R128)&gt;0, COUNTIFS(Rankings!$D$2:$D$987, Rankings!$D128, Rankings!$F$2:$F$987, "&lt;"&amp;Rankings!$F128) + COUNTIFS(Rankings!$D$2:$D$987, Rankings!$D128, Rankings!$F$2:$F$987, Rankings!$F128, Rankings!$G$2:$G$987, "&lt;"&amp;Rankings!$G128)+1, "TBD")</f>
        <v>3</v>
      </c>
      <c r="T128" s="217">
        <v>1.0</v>
      </c>
      <c r="U128" s="217" t="b">
        <f>Rankings!$S128=Rankings!$T128</f>
        <v>0</v>
      </c>
      <c r="V128" s="133"/>
      <c r="W128" s="133"/>
    </row>
    <row r="129" ht="15.75" customHeight="1">
      <c r="A129" s="134"/>
      <c r="B129" s="134"/>
      <c r="C129" s="134"/>
      <c r="D129" s="219">
        <f>D128</f>
        <v>45950</v>
      </c>
      <c r="E129" s="138" t="str">
        <f>$L$1</f>
        <v>Parker</v>
      </c>
      <c r="F129" s="220">
        <f>IFERROR(AVERAGE(Rankings!$K129:$R129), "TBD")</f>
        <v>3.428571429</v>
      </c>
      <c r="G129" s="220">
        <f>IFERROR(_xlfn.STDEV.P(Rankings!$K129:$R129), "TBD")</f>
        <v>1.916629695</v>
      </c>
      <c r="H129" s="221">
        <f>IFERROR(AVERAGE(Rankings!$K129, Rankings!$M129:$R129), "TBD")</f>
        <v>3.833333333</v>
      </c>
      <c r="I129" s="222" t="s">
        <v>645</v>
      </c>
      <c r="J129" s="222" t="s">
        <v>646</v>
      </c>
      <c r="K129" s="143">
        <v>7.0</v>
      </c>
      <c r="L129" s="144">
        <v>1.0</v>
      </c>
      <c r="M129" s="144">
        <v>2.0</v>
      </c>
      <c r="N129" s="144">
        <v>5.0</v>
      </c>
      <c r="O129" s="144">
        <v>2.0</v>
      </c>
      <c r="P129" s="144">
        <v>3.0</v>
      </c>
      <c r="Q129" s="122"/>
      <c r="R129" s="223">
        <v>4.0</v>
      </c>
      <c r="S129" s="147">
        <f>IF(SUM(Rankings!$K129:$R129)&gt;0, COUNTIFS(Rankings!$D$2:$D$987, Rankings!$D129, Rankings!$F$2:$F$987, "&lt;"&amp;Rankings!$F129) + COUNTIFS(Rankings!$D$2:$D$987, Rankings!$D129, Rankings!$F$2:$F$987, Rankings!$F129, Rankings!$G$2:$G$987, "&lt;"&amp;Rankings!$G129)+1, "TBD")</f>
        <v>2</v>
      </c>
      <c r="T129" s="225">
        <v>1.0</v>
      </c>
      <c r="U129" s="225" t="b">
        <f>Rankings!$S129=Rankings!$T129</f>
        <v>0</v>
      </c>
      <c r="V129" s="226"/>
      <c r="W129" s="153"/>
    </row>
    <row r="130" ht="15.75" customHeight="1">
      <c r="A130" s="134"/>
      <c r="B130" s="134"/>
      <c r="C130" s="134"/>
      <c r="D130" s="219">
        <f>D128</f>
        <v>45950</v>
      </c>
      <c r="E130" s="227" t="str">
        <f>$M$1</f>
        <v>Giacomo</v>
      </c>
      <c r="F130" s="220">
        <f>IFERROR(AVERAGE(Rankings!$K130:$R130), "TBD")</f>
        <v>3.714285714</v>
      </c>
      <c r="G130" s="220">
        <f>IFERROR(_xlfn.STDEV.P(Rankings!$K130:$R130), "TBD")</f>
        <v>1.160576915</v>
      </c>
      <c r="H130" s="221">
        <f>IFERROR(AVERAGE(Rankings!$K130:$L130, Rankings!$N130:$R130), "TBD")</f>
        <v>3.833333333</v>
      </c>
      <c r="I130" s="222" t="s">
        <v>647</v>
      </c>
      <c r="J130" s="222" t="s">
        <v>648</v>
      </c>
      <c r="K130" s="143">
        <v>4.0</v>
      </c>
      <c r="L130" s="144">
        <v>3.0</v>
      </c>
      <c r="M130" s="144">
        <v>3.0</v>
      </c>
      <c r="N130" s="144">
        <v>4.0</v>
      </c>
      <c r="O130" s="144">
        <v>6.0</v>
      </c>
      <c r="P130" s="144">
        <v>4.0</v>
      </c>
      <c r="Q130" s="122"/>
      <c r="R130" s="223">
        <v>2.0</v>
      </c>
      <c r="S130" s="147">
        <f>IF(SUM(Rankings!$K130:$R130)&gt;0, COUNTIFS(Rankings!$D$2:$D$987, Rankings!$D130, Rankings!$F$2:$F$987, "&lt;"&amp;Rankings!$F130) + COUNTIFS(Rankings!$D$2:$D$987, Rankings!$D130, Rankings!$F$2:$F$987, Rankings!$F130, Rankings!$G$2:$G$987, "&lt;"&amp;Rankings!$G130)+1, "TBD")</f>
        <v>4</v>
      </c>
      <c r="T130" s="225">
        <v>1.0</v>
      </c>
      <c r="U130" s="225" t="b">
        <f>Rankings!$S130=Rankings!$T130</f>
        <v>0</v>
      </c>
      <c r="V130" s="226"/>
      <c r="W130" s="153"/>
    </row>
    <row r="131" ht="15.75" customHeight="1">
      <c r="A131" s="134"/>
      <c r="B131" s="134"/>
      <c r="C131" s="134"/>
      <c r="D131" s="219">
        <f>D128</f>
        <v>45950</v>
      </c>
      <c r="E131" s="227" t="str">
        <f>$N$1</f>
        <v>Rosey</v>
      </c>
      <c r="F131" s="220">
        <f>IFERROR(AVERAGE(Rankings!$K131:$R131), "TBD")</f>
        <v>3.428571429</v>
      </c>
      <c r="G131" s="220">
        <f>IFERROR(_xlfn.STDEV.P(Rankings!$K131:$R131), "TBD")</f>
        <v>1.590789818</v>
      </c>
      <c r="H131" s="221">
        <f>IFERROR(AVERAGE(Rankings!$K131:$M131, Rankings!$O131:$R131), "TBD")</f>
        <v>3.666666667</v>
      </c>
      <c r="I131" s="222" t="s">
        <v>460</v>
      </c>
      <c r="J131" s="222" t="s">
        <v>649</v>
      </c>
      <c r="K131" s="143">
        <v>2.0</v>
      </c>
      <c r="L131" s="144">
        <v>4.0</v>
      </c>
      <c r="M131" s="144">
        <v>5.0</v>
      </c>
      <c r="N131" s="144">
        <v>2.0</v>
      </c>
      <c r="O131" s="144">
        <v>5.0</v>
      </c>
      <c r="P131" s="144">
        <v>5.0</v>
      </c>
      <c r="Q131" s="122"/>
      <c r="R131" s="223">
        <v>1.0</v>
      </c>
      <c r="S131" s="147">
        <f>IF(SUM(Rankings!$K131:$R131)&gt;0, COUNTIFS(Rankings!$D$2:$D$987, Rankings!$D131, Rankings!$F$2:$F$987, "&lt;"&amp;Rankings!$F131) + COUNTIFS(Rankings!$D$2:$D$987, Rankings!$D131, Rankings!$F$2:$F$987, Rankings!$F131, Rankings!$G$2:$G$987, "&lt;"&amp;Rankings!$G131)+1, "TBD")</f>
        <v>1</v>
      </c>
      <c r="T131" s="225">
        <v>1.0</v>
      </c>
      <c r="U131" s="225" t="b">
        <f>Rankings!$S131=Rankings!$T131</f>
        <v>1</v>
      </c>
      <c r="V131" s="226"/>
      <c r="W131" s="153"/>
    </row>
    <row r="132" ht="15.75" customHeight="1">
      <c r="A132" s="134"/>
      <c r="B132" s="134"/>
      <c r="C132" s="134"/>
      <c r="D132" s="219">
        <f t="shared" ref="D132:D134" si="19">D128</f>
        <v>45950</v>
      </c>
      <c r="E132" s="227" t="str">
        <f>$O$1</f>
        <v>TTAC</v>
      </c>
      <c r="F132" s="220">
        <f>IFERROR(AVERAGE(Rankings!$K132:$R132), "TBD")</f>
        <v>5.571428571</v>
      </c>
      <c r="G132" s="220">
        <f>IFERROR(_xlfn.STDEV.P(Rankings!$K132:$R132), "TBD")</f>
        <v>2.32115383</v>
      </c>
      <c r="H132" s="221">
        <f>IFERROR(AVERAGE(Rankings!$K132:$N132, Rankings!$P132:$R132), "TBD")</f>
        <v>6.333333333</v>
      </c>
      <c r="I132" s="222" t="s">
        <v>650</v>
      </c>
      <c r="J132" s="222" t="s">
        <v>651</v>
      </c>
      <c r="K132" s="143">
        <v>3.0</v>
      </c>
      <c r="L132" s="144">
        <v>7.0</v>
      </c>
      <c r="M132" s="144">
        <v>7.0</v>
      </c>
      <c r="N132" s="144">
        <v>7.0</v>
      </c>
      <c r="O132" s="144">
        <v>1.0</v>
      </c>
      <c r="P132" s="144">
        <v>7.0</v>
      </c>
      <c r="Q132" s="122"/>
      <c r="R132" s="223">
        <v>7.0</v>
      </c>
      <c r="S132" s="147">
        <f>IF(SUM(Rankings!$K132:$R132)&gt;0, COUNTIFS(Rankings!$D$2:$D$987, Rankings!$D132, Rankings!$F$2:$F$987, "&lt;"&amp;Rankings!$F132) + COUNTIFS(Rankings!$D$2:$D$987, Rankings!$D132, Rankings!$F$2:$F$987, Rankings!$F132, Rankings!$G$2:$G$987, "&lt;"&amp;Rankings!$G132)+1, "TBD")</f>
        <v>7</v>
      </c>
      <c r="T132" s="225">
        <v>1.0</v>
      </c>
      <c r="U132" s="225" t="b">
        <f>Rankings!$S132=Rankings!$T132</f>
        <v>0</v>
      </c>
      <c r="V132" s="226"/>
      <c r="W132" s="153"/>
    </row>
    <row r="133" ht="15.75" customHeight="1">
      <c r="A133" s="134"/>
      <c r="B133" s="134"/>
      <c r="C133" s="134"/>
      <c r="D133" s="219">
        <f t="shared" si="19"/>
        <v>45950</v>
      </c>
      <c r="E133" s="227" t="str">
        <f>$P$1</f>
        <v>Weston</v>
      </c>
      <c r="F133" s="220">
        <f>IFERROR(AVERAGE(Rankings!$K133:$R133), "TBD")</f>
        <v>3.857142857</v>
      </c>
      <c r="G133" s="220">
        <f>IFERROR(_xlfn.STDEV.P(Rankings!$K133:$R133), "TBD")</f>
        <v>1.456862718</v>
      </c>
      <c r="H133" s="221">
        <f>IFERROR(AVERAGE(Rankings!$K133:$O133, Rankings!$R133), "TBD")</f>
        <v>4.166666667</v>
      </c>
      <c r="I133" s="222" t="s">
        <v>652</v>
      </c>
      <c r="J133" s="222" t="s">
        <v>653</v>
      </c>
      <c r="K133" s="143">
        <v>5.0</v>
      </c>
      <c r="L133" s="144">
        <v>2.0</v>
      </c>
      <c r="M133" s="144">
        <v>4.0</v>
      </c>
      <c r="N133" s="144">
        <v>6.0</v>
      </c>
      <c r="O133" s="144">
        <v>3.0</v>
      </c>
      <c r="P133" s="144">
        <v>2.0</v>
      </c>
      <c r="Q133" s="122"/>
      <c r="R133" s="223">
        <v>5.0</v>
      </c>
      <c r="S133" s="147">
        <f>IF(SUM(Rankings!$K133:$R133)&gt;0, COUNTIFS(Rankings!$D$2:$D$987, Rankings!$D133, Rankings!$F$2:$F$987, "&lt;"&amp;Rankings!$F133) + COUNTIFS(Rankings!$D$2:$D$987, Rankings!$D133, Rankings!$F$2:$F$987, Rankings!$F133, Rankings!$G$2:$G$987, "&lt;"&amp;Rankings!$G133)+1, "TBD")</f>
        <v>5</v>
      </c>
      <c r="T133" s="225">
        <v>1.0</v>
      </c>
      <c r="U133" s="225" t="b">
        <f>Rankings!$S133=Rankings!$T133</f>
        <v>0</v>
      </c>
      <c r="V133" s="226"/>
      <c r="W133" s="153"/>
    </row>
    <row r="134" ht="15.75" customHeight="1">
      <c r="A134" s="189"/>
      <c r="B134" s="189"/>
      <c r="C134" s="189"/>
      <c r="D134" s="235">
        <f t="shared" si="19"/>
        <v>45950</v>
      </c>
      <c r="E134" s="237" t="str">
        <f>$R$1</f>
        <v>Jake</v>
      </c>
      <c r="F134" s="240">
        <f>IFERROR(AVERAGE(Rankings!$K134:$R134), "TBD")</f>
        <v>4.428571429</v>
      </c>
      <c r="G134" s="240">
        <f>IFERROR(_xlfn.STDEV.P(Rankings!$K134:$R134), "TBD")</f>
        <v>1.761261144</v>
      </c>
      <c r="H134" s="242">
        <f>IFERROR(AVERAGE(Rankings!$K134:$P134), "TBD")</f>
        <v>4.666666667</v>
      </c>
      <c r="I134" s="243" t="s">
        <v>654</v>
      </c>
      <c r="J134" s="243" t="s">
        <v>655</v>
      </c>
      <c r="K134" s="199">
        <v>6.0</v>
      </c>
      <c r="L134" s="201">
        <v>5.0</v>
      </c>
      <c r="M134" s="201">
        <v>6.0</v>
      </c>
      <c r="N134" s="201">
        <v>1.0</v>
      </c>
      <c r="O134" s="201">
        <v>4.0</v>
      </c>
      <c r="P134" s="201">
        <v>6.0</v>
      </c>
      <c r="Q134" s="122"/>
      <c r="R134" s="244">
        <v>3.0</v>
      </c>
      <c r="S134" s="203">
        <f>IF(SUM(Rankings!$K134:$R134)&gt;0, COUNTIFS(Rankings!$D$2:$D$987, Rankings!$D134, Rankings!$F$2:$F$987, "&lt;"&amp;Rankings!$F134) + COUNTIFS(Rankings!$D$2:$D$987, Rankings!$D134, Rankings!$F$2:$F$987, Rankings!$F134, Rankings!$G$2:$G$987, "&lt;"&amp;Rankings!$G134)+1, "TBD")</f>
        <v>6</v>
      </c>
      <c r="T134" s="247">
        <v>1.0</v>
      </c>
      <c r="U134" s="247" t="b">
        <f>Rankings!$S134=Rankings!$T134</f>
        <v>0</v>
      </c>
      <c r="V134" s="248"/>
      <c r="W134" s="208"/>
    </row>
    <row r="135" ht="15.75" customHeight="1">
      <c r="A135" s="103">
        <v>45952.0</v>
      </c>
      <c r="B135" s="104"/>
      <c r="C135" s="104" t="str">
        <f t="array" ref="C135">INDEX(Rankings!$E135:$E141, MATCH(1, (Rankings!$D135:$D141=$A135)*(Rankings!$U135:$U141=TRUE()), 0))</f>
        <v>Jake</v>
      </c>
      <c r="D135" s="111">
        <f>A135</f>
        <v>45952</v>
      </c>
      <c r="E135" s="113" t="str">
        <f>$K$1</f>
        <v>Logan</v>
      </c>
      <c r="F135" s="115">
        <f>IFERROR(AVERAGE(Rankings!$K135:$R135), "TBD")</f>
        <v>3.142857143</v>
      </c>
      <c r="G135" s="115">
        <f>IFERROR(_xlfn.STDEV.P(Rankings!$K135:$R135), "TBD")</f>
        <v>1.807015806</v>
      </c>
      <c r="H135" s="117">
        <f>IFERROR(AVERAGE(Rankings!$L135:$R135), "TBD")</f>
        <v>3.333333333</v>
      </c>
      <c r="I135" s="119" t="s">
        <v>656</v>
      </c>
      <c r="J135" s="119" t="s">
        <v>657</v>
      </c>
      <c r="K135" s="120">
        <v>2.0</v>
      </c>
      <c r="L135" s="121">
        <v>6.0</v>
      </c>
      <c r="M135" s="121">
        <v>5.0</v>
      </c>
      <c r="N135" s="121">
        <v>4.0</v>
      </c>
      <c r="O135" s="121">
        <v>1.0</v>
      </c>
      <c r="P135" s="121">
        <v>3.0</v>
      </c>
      <c r="Q135" s="122"/>
      <c r="R135" s="216">
        <v>1.0</v>
      </c>
      <c r="S135" s="126">
        <f>IF(SUM(Rankings!$K135:$R135)&gt;0, COUNTIFS(Rankings!$D$2:$D$987, Rankings!$D135, Rankings!$F$2:$F$987, "&lt;"&amp;Rankings!$F135) + COUNTIFS(Rankings!$D$2:$D$987, Rankings!$D135, Rankings!$F$2:$F$987, Rankings!$F135, Rankings!$G$2:$G$987, "&lt;"&amp;Rankings!$G135)+1, "TBD")</f>
        <v>3</v>
      </c>
      <c r="T135" s="217">
        <v>1.0</v>
      </c>
      <c r="U135" s="217" t="b">
        <f>Rankings!$S135=Rankings!$T135</f>
        <v>0</v>
      </c>
      <c r="V135" s="133"/>
      <c r="W135" s="133"/>
    </row>
    <row r="136" ht="15.75" customHeight="1">
      <c r="A136" s="134"/>
      <c r="B136" s="134"/>
      <c r="C136" s="134"/>
      <c r="D136" s="219">
        <f>D135</f>
        <v>45952</v>
      </c>
      <c r="E136" s="138" t="str">
        <f>$L$1</f>
        <v>Parker</v>
      </c>
      <c r="F136" s="220">
        <f>IFERROR(AVERAGE(Rankings!$K136:$R136), "TBD")</f>
        <v>4</v>
      </c>
      <c r="G136" s="220">
        <f>IFERROR(_xlfn.STDEV.P(Rankings!$K136:$R136), "TBD")</f>
        <v>0.755928946</v>
      </c>
      <c r="H136" s="221">
        <f>IFERROR(AVERAGE(Rankings!$K136, Rankings!$M136:$R136), "TBD")</f>
        <v>4.166666667</v>
      </c>
      <c r="I136" s="222" t="s">
        <v>658</v>
      </c>
      <c r="J136" s="222" t="s">
        <v>659</v>
      </c>
      <c r="K136" s="143">
        <v>4.0</v>
      </c>
      <c r="L136" s="144">
        <v>3.0</v>
      </c>
      <c r="M136" s="144">
        <v>4.0</v>
      </c>
      <c r="N136" s="144">
        <v>3.0</v>
      </c>
      <c r="O136" s="144">
        <v>5.0</v>
      </c>
      <c r="P136" s="144">
        <v>5.0</v>
      </c>
      <c r="Q136" s="122"/>
      <c r="R136" s="223">
        <v>4.0</v>
      </c>
      <c r="S136" s="147">
        <f>IF(SUM(Rankings!$K136:$R136)&gt;0, COUNTIFS(Rankings!$D$2:$D$987, Rankings!$D136, Rankings!$F$2:$F$987, "&lt;"&amp;Rankings!$F136) + COUNTIFS(Rankings!$D$2:$D$987, Rankings!$D136, Rankings!$F$2:$F$987, Rankings!$F136, Rankings!$G$2:$G$987, "&lt;"&amp;Rankings!$G136)+1, "TBD")</f>
        <v>5</v>
      </c>
      <c r="T136" s="225">
        <v>1.0</v>
      </c>
      <c r="U136" s="225" t="b">
        <f>Rankings!$S136=Rankings!$T136</f>
        <v>0</v>
      </c>
      <c r="V136" s="226"/>
      <c r="W136" s="153"/>
    </row>
    <row r="137" ht="15.75" customHeight="1">
      <c r="A137" s="134"/>
      <c r="B137" s="134"/>
      <c r="C137" s="134"/>
      <c r="D137" s="219">
        <f>D135</f>
        <v>45952</v>
      </c>
      <c r="E137" s="227" t="str">
        <f>$M$1</f>
        <v>Giacomo</v>
      </c>
      <c r="F137" s="220">
        <f>IFERROR(AVERAGE(Rankings!$K137:$R137), "TBD")</f>
        <v>5.571428571</v>
      </c>
      <c r="G137" s="220">
        <f>IFERROR(_xlfn.STDEV.P(Rankings!$K137:$R137), "TBD")</f>
        <v>1.590789818</v>
      </c>
      <c r="H137" s="221">
        <f>IFERROR(AVERAGE(Rankings!$K137:$L137, Rankings!$N137:$R137), "TBD")</f>
        <v>6.166666667</v>
      </c>
      <c r="I137" s="222" t="s">
        <v>660</v>
      </c>
      <c r="J137" s="222" t="s">
        <v>661</v>
      </c>
      <c r="K137" s="143">
        <v>6.0</v>
      </c>
      <c r="L137" s="144">
        <v>5.0</v>
      </c>
      <c r="M137" s="144">
        <v>2.0</v>
      </c>
      <c r="N137" s="144">
        <v>7.0</v>
      </c>
      <c r="O137" s="144">
        <v>6.0</v>
      </c>
      <c r="P137" s="144">
        <v>7.0</v>
      </c>
      <c r="Q137" s="122"/>
      <c r="R137" s="223">
        <v>6.0</v>
      </c>
      <c r="S137" s="147">
        <f>IF(SUM(Rankings!$K137:$R137)&gt;0, COUNTIFS(Rankings!$D$2:$D$987, Rankings!$D137, Rankings!$F$2:$F$987, "&lt;"&amp;Rankings!$F137) + COUNTIFS(Rankings!$D$2:$D$987, Rankings!$D137, Rankings!$F$2:$F$987, Rankings!$F137, Rankings!$G$2:$G$987, "&lt;"&amp;Rankings!$G137)+1, "TBD")</f>
        <v>6</v>
      </c>
      <c r="T137" s="225">
        <v>1.0</v>
      </c>
      <c r="U137" s="225" t="b">
        <f>Rankings!$S137=Rankings!$T137</f>
        <v>0</v>
      </c>
      <c r="V137" s="226"/>
      <c r="W137" s="153"/>
    </row>
    <row r="138" ht="15.75" customHeight="1">
      <c r="A138" s="134"/>
      <c r="B138" s="134"/>
      <c r="C138" s="134"/>
      <c r="D138" s="219">
        <f>D135</f>
        <v>45952</v>
      </c>
      <c r="E138" s="227" t="str">
        <f>$N$1</f>
        <v>Rosey</v>
      </c>
      <c r="F138" s="220">
        <f>IFERROR(AVERAGE(Rankings!$K138:$R138), "TBD")</f>
        <v>3</v>
      </c>
      <c r="G138" s="220">
        <f>IFERROR(_xlfn.STDEV.P(Rankings!$K138:$R138), "TBD")</f>
        <v>1.309307341</v>
      </c>
      <c r="H138" s="221">
        <f>IFERROR(AVERAGE(Rankings!$K138:$M138, Rankings!$O138:$R138), "TBD")</f>
        <v>3.333333333</v>
      </c>
      <c r="I138" s="222" t="s">
        <v>662</v>
      </c>
      <c r="J138" s="222" t="s">
        <v>663</v>
      </c>
      <c r="K138" s="143">
        <v>5.0</v>
      </c>
      <c r="L138" s="144">
        <v>4.0</v>
      </c>
      <c r="M138" s="144">
        <v>3.0</v>
      </c>
      <c r="N138" s="144">
        <v>1.0</v>
      </c>
      <c r="O138" s="144">
        <v>2.0</v>
      </c>
      <c r="P138" s="144">
        <v>4.0</v>
      </c>
      <c r="Q138" s="122"/>
      <c r="R138" s="223">
        <v>2.0</v>
      </c>
      <c r="S138" s="147">
        <f>IF(SUM(Rankings!$K138:$R138)&gt;0, COUNTIFS(Rankings!$D$2:$D$987, Rankings!$D138, Rankings!$F$2:$F$987, "&lt;"&amp;Rankings!$F138) + COUNTIFS(Rankings!$D$2:$D$987, Rankings!$D138, Rankings!$F$2:$F$987, Rankings!$F138, Rankings!$G$2:$G$987, "&lt;"&amp;Rankings!$G138)+1, "TBD")</f>
        <v>2</v>
      </c>
      <c r="T138" s="225">
        <v>1.0</v>
      </c>
      <c r="U138" s="225" t="b">
        <f>Rankings!$S138=Rankings!$T138</f>
        <v>0</v>
      </c>
      <c r="V138" s="226"/>
      <c r="W138" s="153"/>
    </row>
    <row r="139" ht="15.75" customHeight="1">
      <c r="A139" s="134"/>
      <c r="B139" s="134"/>
      <c r="C139" s="134"/>
      <c r="D139" s="219">
        <f t="shared" ref="D139:D141" si="20">D135</f>
        <v>45952</v>
      </c>
      <c r="E139" s="227" t="str">
        <f>$O$1</f>
        <v>TTAC</v>
      </c>
      <c r="F139" s="220">
        <f>IFERROR(AVERAGE(Rankings!$K139:$R139), "TBD")</f>
        <v>6.142857143</v>
      </c>
      <c r="G139" s="220">
        <f>IFERROR(_xlfn.STDEV.P(Rankings!$K139:$R139), "TBD")</f>
        <v>1.124858268</v>
      </c>
      <c r="H139" s="221">
        <f>IFERROR(AVERAGE(Rankings!$K139:$N139, Rankings!$P139:$R139), "TBD")</f>
        <v>6.5</v>
      </c>
      <c r="I139" s="222" t="s">
        <v>664</v>
      </c>
      <c r="J139" s="222" t="s">
        <v>665</v>
      </c>
      <c r="K139" s="143">
        <v>7.0</v>
      </c>
      <c r="L139" s="144">
        <v>7.0</v>
      </c>
      <c r="M139" s="144">
        <v>7.0</v>
      </c>
      <c r="N139" s="144">
        <v>5.0</v>
      </c>
      <c r="O139" s="144">
        <v>4.0</v>
      </c>
      <c r="P139" s="144">
        <v>6.0</v>
      </c>
      <c r="Q139" s="122"/>
      <c r="R139" s="223">
        <v>7.0</v>
      </c>
      <c r="S139" s="147">
        <f>IF(SUM(Rankings!$K139:$R139)&gt;0, COUNTIFS(Rankings!$D$2:$D$987, Rankings!$D139, Rankings!$F$2:$F$987, "&lt;"&amp;Rankings!$F139) + COUNTIFS(Rankings!$D$2:$D$987, Rankings!$D139, Rankings!$F$2:$F$987, Rankings!$F139, Rankings!$G$2:$G$987, "&lt;"&amp;Rankings!$G139)+1, "TBD")</f>
        <v>7</v>
      </c>
      <c r="T139" s="225">
        <v>1.0</v>
      </c>
      <c r="U139" s="225" t="b">
        <f>Rankings!$S139=Rankings!$T139</f>
        <v>0</v>
      </c>
      <c r="V139" s="226"/>
      <c r="W139" s="153"/>
    </row>
    <row r="140" ht="15.75" customHeight="1">
      <c r="A140" s="134"/>
      <c r="B140" s="134"/>
      <c r="C140" s="134"/>
      <c r="D140" s="219">
        <f t="shared" si="20"/>
        <v>45952</v>
      </c>
      <c r="E140" s="227" t="str">
        <f>$P$1</f>
        <v>Weston</v>
      </c>
      <c r="F140" s="220">
        <f>IFERROR(AVERAGE(Rankings!$K140:$R140), "TBD")</f>
        <v>3.714285714</v>
      </c>
      <c r="G140" s="220">
        <f>IFERROR(_xlfn.STDEV.P(Rankings!$K140:$R140), "TBD")</f>
        <v>2.118913853</v>
      </c>
      <c r="H140" s="221">
        <f>IFERROR(AVERAGE(Rankings!$K140:$O140, Rankings!$R140), "TBD")</f>
        <v>4</v>
      </c>
      <c r="I140" s="222" t="s">
        <v>666</v>
      </c>
      <c r="J140" s="222" t="s">
        <v>667</v>
      </c>
      <c r="K140" s="143">
        <v>3.0</v>
      </c>
      <c r="L140" s="144">
        <v>1.0</v>
      </c>
      <c r="M140" s="144">
        <v>6.0</v>
      </c>
      <c r="N140" s="144">
        <v>2.0</v>
      </c>
      <c r="O140" s="144">
        <v>7.0</v>
      </c>
      <c r="P140" s="144">
        <v>2.0</v>
      </c>
      <c r="Q140" s="122"/>
      <c r="R140" s="223">
        <v>5.0</v>
      </c>
      <c r="S140" s="147">
        <f>IF(SUM(Rankings!$K140:$R140)&gt;0, COUNTIFS(Rankings!$D$2:$D$987, Rankings!$D140, Rankings!$F$2:$F$987, "&lt;"&amp;Rankings!$F140) + COUNTIFS(Rankings!$D$2:$D$987, Rankings!$D140, Rankings!$F$2:$F$987, Rankings!$F140, Rankings!$G$2:$G$987, "&lt;"&amp;Rankings!$G140)+1, "TBD")</f>
        <v>4</v>
      </c>
      <c r="T140" s="225">
        <v>1.0</v>
      </c>
      <c r="U140" s="225" t="b">
        <f>Rankings!$S140=Rankings!$T140</f>
        <v>0</v>
      </c>
      <c r="V140" s="226"/>
      <c r="W140" s="153"/>
    </row>
    <row r="141" ht="15.75" customHeight="1">
      <c r="A141" s="189"/>
      <c r="B141" s="189"/>
      <c r="C141" s="189"/>
      <c r="D141" s="235">
        <f t="shared" si="20"/>
        <v>45952</v>
      </c>
      <c r="E141" s="237" t="str">
        <f>$R$1</f>
        <v>Jake</v>
      </c>
      <c r="F141" s="240">
        <f>IFERROR(AVERAGE(Rankings!$K141:$R141), "TBD")</f>
        <v>2.428571429</v>
      </c>
      <c r="G141" s="240">
        <f>IFERROR(_xlfn.STDEV.P(Rankings!$K141:$R141), "TBD")</f>
        <v>1.678191446</v>
      </c>
      <c r="H141" s="242">
        <f>IFERROR(AVERAGE(Rankings!$K141:$P141), "TBD")</f>
        <v>2.333333333</v>
      </c>
      <c r="I141" s="243" t="s">
        <v>454</v>
      </c>
      <c r="J141" s="243" t="s">
        <v>668</v>
      </c>
      <c r="K141" s="199">
        <v>1.0</v>
      </c>
      <c r="L141" s="201">
        <v>2.0</v>
      </c>
      <c r="M141" s="201">
        <v>1.0</v>
      </c>
      <c r="N141" s="201">
        <v>6.0</v>
      </c>
      <c r="O141" s="201">
        <v>3.0</v>
      </c>
      <c r="P141" s="201">
        <v>1.0</v>
      </c>
      <c r="Q141" s="122"/>
      <c r="R141" s="244">
        <v>3.0</v>
      </c>
      <c r="S141" s="203">
        <f>IF(SUM(Rankings!$K141:$R141)&gt;0, COUNTIFS(Rankings!$D$2:$D$987, Rankings!$D141, Rankings!$F$2:$F$987, "&lt;"&amp;Rankings!$F141) + COUNTIFS(Rankings!$D$2:$D$987, Rankings!$D141, Rankings!$F$2:$F$987, Rankings!$F141, Rankings!$G$2:$G$987, "&lt;"&amp;Rankings!$G141)+1, "TBD")</f>
        <v>1</v>
      </c>
      <c r="T141" s="247">
        <v>1.0</v>
      </c>
      <c r="U141" s="247" t="b">
        <f>Rankings!$S141=Rankings!$T141</f>
        <v>1</v>
      </c>
      <c r="V141" s="248"/>
      <c r="W141" s="208"/>
    </row>
    <row r="142" ht="15.75" customHeight="1">
      <c r="A142" s="103">
        <v>45954.0</v>
      </c>
      <c r="B142" s="104"/>
      <c r="C142" s="104" t="str">
        <f t="array" ref="C142">INDEX(Rankings!$E142:$E148, MATCH(1, (Rankings!$D142:$D148=$A142)*(Rankings!$U142:$U148=TRUE()), 0))</f>
        <v>Rosey</v>
      </c>
      <c r="D142" s="111">
        <f>A142</f>
        <v>45954</v>
      </c>
      <c r="E142" s="113" t="str">
        <f>$K$1</f>
        <v>Logan</v>
      </c>
      <c r="F142" s="115">
        <f>IFERROR(AVERAGE(Rankings!$K142:$R142), "TBD")</f>
        <v>4.142857143</v>
      </c>
      <c r="G142" s="115">
        <f>IFERROR(_xlfn.STDEV.P(Rankings!$K142:$R142), "TBD")</f>
        <v>1.807015806</v>
      </c>
      <c r="H142" s="117">
        <f>IFERROR(AVERAGE(Rankings!$L142:$R142), "TBD")</f>
        <v>4.5</v>
      </c>
      <c r="I142" s="119" t="s">
        <v>669</v>
      </c>
      <c r="J142" s="119" t="s">
        <v>670</v>
      </c>
      <c r="K142" s="120">
        <v>2.0</v>
      </c>
      <c r="L142" s="121">
        <v>4.0</v>
      </c>
      <c r="M142" s="121">
        <v>7.0</v>
      </c>
      <c r="N142" s="121">
        <v>3.0</v>
      </c>
      <c r="O142" s="121">
        <v>5.0</v>
      </c>
      <c r="P142" s="121">
        <v>6.0</v>
      </c>
      <c r="Q142" s="122"/>
      <c r="R142" s="216">
        <v>2.0</v>
      </c>
      <c r="S142" s="126">
        <f>IF(SUM(Rankings!$K142:$R142)&gt;0, COUNTIFS(Rankings!$D$2:$D$987, Rankings!$D142, Rankings!$F$2:$F$987, "&lt;"&amp;Rankings!$F142) + COUNTIFS(Rankings!$D$2:$D$987, Rankings!$D142, Rankings!$F$2:$F$987, Rankings!$F142, Rankings!$G$2:$G$987, "&lt;"&amp;Rankings!$G142)+1, "TBD")</f>
        <v>4</v>
      </c>
      <c r="T142" s="217">
        <v>1.0</v>
      </c>
      <c r="U142" s="217" t="b">
        <f>Rankings!$S142=Rankings!$T142</f>
        <v>0</v>
      </c>
      <c r="V142" s="133"/>
      <c r="W142" s="133"/>
    </row>
    <row r="143" ht="15.75" customHeight="1">
      <c r="A143" s="134"/>
      <c r="B143" s="134"/>
      <c r="C143" s="134"/>
      <c r="D143" s="219">
        <f>D142</f>
        <v>45954</v>
      </c>
      <c r="E143" s="138" t="str">
        <f>$L$1</f>
        <v>Parker</v>
      </c>
      <c r="F143" s="220">
        <f>IFERROR(AVERAGE(Rankings!$K143:$R143), "TBD")</f>
        <v>4.285714286</v>
      </c>
      <c r="G143" s="220">
        <f>IFERROR(_xlfn.STDEV.P(Rankings!$K143:$R143), "TBD")</f>
        <v>1.905952009</v>
      </c>
      <c r="H143" s="221">
        <f>IFERROR(AVERAGE(Rankings!$K143, Rankings!$M143:$R143), "TBD")</f>
        <v>4.5</v>
      </c>
      <c r="I143" s="222" t="s">
        <v>671</v>
      </c>
      <c r="J143" s="222" t="s">
        <v>672</v>
      </c>
      <c r="K143" s="143">
        <v>1.0</v>
      </c>
      <c r="L143" s="144">
        <v>3.0</v>
      </c>
      <c r="M143" s="144">
        <v>5.0</v>
      </c>
      <c r="N143" s="144">
        <v>7.0</v>
      </c>
      <c r="O143" s="144">
        <v>6.0</v>
      </c>
      <c r="P143" s="144">
        <v>5.0</v>
      </c>
      <c r="Q143" s="122"/>
      <c r="R143" s="223">
        <v>3.0</v>
      </c>
      <c r="S143" s="147">
        <f>IF(SUM(Rankings!$K143:$R143)&gt;0, COUNTIFS(Rankings!$D$2:$D$987, Rankings!$D143, Rankings!$F$2:$F$987, "&lt;"&amp;Rankings!$F143) + COUNTIFS(Rankings!$D$2:$D$987, Rankings!$D143, Rankings!$F$2:$F$987, Rankings!$F143, Rankings!$G$2:$G$987, "&lt;"&amp;Rankings!$G143)+1, "TBD")</f>
        <v>5</v>
      </c>
      <c r="T143" s="225">
        <v>1.0</v>
      </c>
      <c r="U143" s="225" t="b">
        <f>Rankings!$S143=Rankings!$T143</f>
        <v>0</v>
      </c>
      <c r="V143" s="226"/>
      <c r="W143" s="153"/>
    </row>
    <row r="144" ht="15.75" customHeight="1">
      <c r="A144" s="134"/>
      <c r="B144" s="134"/>
      <c r="C144" s="134"/>
      <c r="D144" s="219">
        <f>D142</f>
        <v>45954</v>
      </c>
      <c r="E144" s="227" t="str">
        <f>$M$1</f>
        <v>Giacomo</v>
      </c>
      <c r="F144" s="220">
        <f>IFERROR(AVERAGE(Rankings!$K144:$R144), "TBD")</f>
        <v>5</v>
      </c>
      <c r="G144" s="220">
        <f>IFERROR(_xlfn.STDEV.P(Rankings!$K144:$R144), "TBD")</f>
        <v>1.927248223</v>
      </c>
      <c r="H144" s="221">
        <f>IFERROR(AVERAGE(Rankings!$K144:$L144, Rankings!$N144:$R144), "TBD")</f>
        <v>5.666666667</v>
      </c>
      <c r="I144" s="222" t="s">
        <v>673</v>
      </c>
      <c r="J144" s="222" t="s">
        <v>674</v>
      </c>
      <c r="K144" s="143">
        <v>5.0</v>
      </c>
      <c r="L144" s="144">
        <v>7.0</v>
      </c>
      <c r="M144" s="144">
        <v>1.0</v>
      </c>
      <c r="N144" s="144">
        <v>6.0</v>
      </c>
      <c r="O144" s="144">
        <v>7.0</v>
      </c>
      <c r="P144" s="144">
        <v>4.0</v>
      </c>
      <c r="Q144" s="122"/>
      <c r="R144" s="223">
        <v>5.0</v>
      </c>
      <c r="S144" s="147">
        <f>IF(SUM(Rankings!$K144:$R144)&gt;0, COUNTIFS(Rankings!$D$2:$D$987, Rankings!$D144, Rankings!$F$2:$F$987, "&lt;"&amp;Rankings!$F144) + COUNTIFS(Rankings!$D$2:$D$987, Rankings!$D144, Rankings!$F$2:$F$987, Rankings!$F144, Rankings!$G$2:$G$987, "&lt;"&amp;Rankings!$G144)+1, "TBD")</f>
        <v>7</v>
      </c>
      <c r="T144" s="225">
        <v>1.0</v>
      </c>
      <c r="U144" s="225" t="b">
        <f>Rankings!$S144=Rankings!$T144</f>
        <v>0</v>
      </c>
      <c r="V144" s="226"/>
      <c r="W144" s="153"/>
    </row>
    <row r="145" ht="15.75" customHeight="1">
      <c r="A145" s="134"/>
      <c r="B145" s="134"/>
      <c r="C145" s="134"/>
      <c r="D145" s="219">
        <f>D142</f>
        <v>45954</v>
      </c>
      <c r="E145" s="227" t="str">
        <f>$N$1</f>
        <v>Rosey</v>
      </c>
      <c r="F145" s="220">
        <f>IFERROR(AVERAGE(Rankings!$K145:$R145), "TBD")</f>
        <v>2.857142857</v>
      </c>
      <c r="G145" s="220">
        <f>IFERROR(_xlfn.STDEV.P(Rankings!$K145:$R145), "TBD")</f>
        <v>2.030381486</v>
      </c>
      <c r="H145" s="221">
        <f>IFERROR(AVERAGE(Rankings!$K145:$M145, Rankings!$O145:$R145), "TBD")</f>
        <v>3.166666667</v>
      </c>
      <c r="I145" s="222" t="s">
        <v>466</v>
      </c>
      <c r="J145" s="222" t="s">
        <v>675</v>
      </c>
      <c r="K145" s="143">
        <v>3.0</v>
      </c>
      <c r="L145" s="144">
        <v>1.0</v>
      </c>
      <c r="M145" s="144">
        <v>4.0</v>
      </c>
      <c r="N145" s="144">
        <v>1.0</v>
      </c>
      <c r="O145" s="144">
        <v>3.0</v>
      </c>
      <c r="P145" s="144">
        <v>1.0</v>
      </c>
      <c r="Q145" s="122"/>
      <c r="R145" s="223">
        <v>7.0</v>
      </c>
      <c r="S145" s="147">
        <f>IF(SUM(Rankings!$K145:$R145)&gt;0, COUNTIFS(Rankings!$D$2:$D$987, Rankings!$D145, Rankings!$F$2:$F$987, "&lt;"&amp;Rankings!$F145) + COUNTIFS(Rankings!$D$2:$D$987, Rankings!$D145, Rankings!$F$2:$F$987, Rankings!$F145, Rankings!$G$2:$G$987, "&lt;"&amp;Rankings!$G145)+1, "TBD")</f>
        <v>1</v>
      </c>
      <c r="T145" s="225">
        <v>1.0</v>
      </c>
      <c r="U145" s="225" t="b">
        <f>Rankings!$S145=Rankings!$T145</f>
        <v>1</v>
      </c>
      <c r="V145" s="226"/>
      <c r="W145" s="153"/>
    </row>
    <row r="146" ht="15.75" customHeight="1">
      <c r="A146" s="134"/>
      <c r="B146" s="134"/>
      <c r="C146" s="134"/>
      <c r="D146" s="219">
        <f t="shared" ref="D146:D148" si="21">D142</f>
        <v>45954</v>
      </c>
      <c r="E146" s="227" t="str">
        <f>$O$1</f>
        <v>TTAC</v>
      </c>
      <c r="F146" s="220">
        <f>IFERROR(AVERAGE(Rankings!$K146:$R146), "TBD")</f>
        <v>4.714285714</v>
      </c>
      <c r="G146" s="220">
        <f>IFERROR(_xlfn.STDEV.P(Rankings!$K146:$R146), "TBD")</f>
        <v>1.829464068</v>
      </c>
      <c r="H146" s="221">
        <f>IFERROR(AVERAGE(Rankings!$K146:$N146, Rankings!$P146:$R146), "TBD")</f>
        <v>5.333333333</v>
      </c>
      <c r="I146" s="222" t="s">
        <v>676</v>
      </c>
      <c r="J146" s="222" t="s">
        <v>677</v>
      </c>
      <c r="K146" s="143">
        <v>6.0</v>
      </c>
      <c r="L146" s="144">
        <v>6.0</v>
      </c>
      <c r="M146" s="144">
        <v>6.0</v>
      </c>
      <c r="N146" s="144">
        <v>5.0</v>
      </c>
      <c r="O146" s="144">
        <v>1.0</v>
      </c>
      <c r="P146" s="144">
        <v>3.0</v>
      </c>
      <c r="Q146" s="122"/>
      <c r="R146" s="223">
        <v>6.0</v>
      </c>
      <c r="S146" s="147">
        <f>IF(SUM(Rankings!$K146:$R146)&gt;0, COUNTIFS(Rankings!$D$2:$D$987, Rankings!$D146, Rankings!$F$2:$F$987, "&lt;"&amp;Rankings!$F146) + COUNTIFS(Rankings!$D$2:$D$987, Rankings!$D146, Rankings!$F$2:$F$987, Rankings!$F146, Rankings!$G$2:$G$987, "&lt;"&amp;Rankings!$G146)+1, "TBD")</f>
        <v>6</v>
      </c>
      <c r="T146" s="225">
        <v>1.0</v>
      </c>
      <c r="U146" s="225" t="b">
        <f>Rankings!$S146=Rankings!$T146</f>
        <v>0</v>
      </c>
      <c r="V146" s="226"/>
      <c r="W146" s="153"/>
    </row>
    <row r="147" ht="15.75" customHeight="1">
      <c r="A147" s="134"/>
      <c r="B147" s="134"/>
      <c r="C147" s="134"/>
      <c r="D147" s="219">
        <f t="shared" si="21"/>
        <v>45954</v>
      </c>
      <c r="E147" s="227" t="str">
        <f>$P$1</f>
        <v>Weston</v>
      </c>
      <c r="F147" s="220">
        <f>IFERROR(AVERAGE(Rankings!$K147:$R147), "TBD")</f>
        <v>3.857142857</v>
      </c>
      <c r="G147" s="220">
        <f>IFERROR(_xlfn.STDEV.P(Rankings!$K147:$R147), "TBD")</f>
        <v>1.641303613</v>
      </c>
      <c r="H147" s="221">
        <f>IFERROR(AVERAGE(Rankings!$K147:$O147, Rankings!$R147), "TBD")</f>
        <v>4.166666667</v>
      </c>
      <c r="I147" s="222" t="s">
        <v>678</v>
      </c>
      <c r="J147" s="222" t="s">
        <v>679</v>
      </c>
      <c r="K147" s="143">
        <v>7.0</v>
      </c>
      <c r="L147" s="144">
        <v>5.0</v>
      </c>
      <c r="M147" s="144">
        <v>3.0</v>
      </c>
      <c r="N147" s="144">
        <v>2.0</v>
      </c>
      <c r="O147" s="144">
        <v>4.0</v>
      </c>
      <c r="P147" s="144">
        <v>2.0</v>
      </c>
      <c r="Q147" s="122"/>
      <c r="R147" s="223">
        <v>4.0</v>
      </c>
      <c r="S147" s="147">
        <f>IF(SUM(Rankings!$K147:$R147)&gt;0, COUNTIFS(Rankings!$D$2:$D$987, Rankings!$D147, Rankings!$F$2:$F$987, "&lt;"&amp;Rankings!$F147) + COUNTIFS(Rankings!$D$2:$D$987, Rankings!$D147, Rankings!$F$2:$F$987, Rankings!$F147, Rankings!$G$2:$G$987, "&lt;"&amp;Rankings!$G147)+1, "TBD")</f>
        <v>3</v>
      </c>
      <c r="T147" s="225">
        <v>1.0</v>
      </c>
      <c r="U147" s="225" t="b">
        <f>Rankings!$S147=Rankings!$T147</f>
        <v>0</v>
      </c>
      <c r="V147" s="226"/>
      <c r="W147" s="153"/>
    </row>
    <row r="148" ht="15.75" customHeight="1">
      <c r="A148" s="189"/>
      <c r="B148" s="189"/>
      <c r="C148" s="189"/>
      <c r="D148" s="235">
        <f t="shared" si="21"/>
        <v>45954</v>
      </c>
      <c r="E148" s="237" t="str">
        <f>$R$1</f>
        <v>Jake</v>
      </c>
      <c r="F148" s="240">
        <f>IFERROR(AVERAGE(Rankings!$K148:$R148), "TBD")</f>
        <v>3.142857143</v>
      </c>
      <c r="G148" s="240">
        <f>IFERROR(_xlfn.STDEV.P(Rankings!$K148:$R148), "TBD")</f>
        <v>1.884415137</v>
      </c>
      <c r="H148" s="242">
        <f>IFERROR(AVERAGE(Rankings!$K148:$P148), "TBD")</f>
        <v>3.5</v>
      </c>
      <c r="I148" s="243" t="s">
        <v>680</v>
      </c>
      <c r="J148" s="243" t="s">
        <v>681</v>
      </c>
      <c r="K148" s="199">
        <v>4.0</v>
      </c>
      <c r="L148" s="201">
        <v>2.0</v>
      </c>
      <c r="M148" s="201">
        <v>2.0</v>
      </c>
      <c r="N148" s="201">
        <v>4.0</v>
      </c>
      <c r="O148" s="201">
        <v>2.0</v>
      </c>
      <c r="P148" s="201">
        <v>7.0</v>
      </c>
      <c r="Q148" s="122"/>
      <c r="R148" s="244">
        <v>1.0</v>
      </c>
      <c r="S148" s="203">
        <f>IF(SUM(Rankings!$K148:$R148)&gt;0, COUNTIFS(Rankings!$D$2:$D$987, Rankings!$D148, Rankings!$F$2:$F$987, "&lt;"&amp;Rankings!$F148) + COUNTIFS(Rankings!$D$2:$D$987, Rankings!$D148, Rankings!$F$2:$F$987, Rankings!$F148, Rankings!$G$2:$G$987, "&lt;"&amp;Rankings!$G148)+1, "TBD")</f>
        <v>2</v>
      </c>
      <c r="T148" s="247">
        <v>1.0</v>
      </c>
      <c r="U148" s="247" t="b">
        <f>Rankings!$S148=Rankings!$T148</f>
        <v>0</v>
      </c>
      <c r="V148" s="248"/>
      <c r="W148" s="208"/>
    </row>
    <row r="149" ht="15.75" customHeight="1">
      <c r="A149" s="103">
        <v>45957.0</v>
      </c>
      <c r="B149" s="104"/>
      <c r="C149" s="104" t="str">
        <f t="array" ref="C149">INDEX(Rankings!$E149:$E155, MATCH(1, (Rankings!$D149:$D155=$A149)*(Rankings!$U149:$U155=TRUE()), 0))</f>
        <v>Giacomo</v>
      </c>
      <c r="D149" s="111">
        <f>A149</f>
        <v>45957</v>
      </c>
      <c r="E149" s="113" t="str">
        <f>$K$1</f>
        <v>Logan</v>
      </c>
      <c r="F149" s="115">
        <f>IFERROR(AVERAGE(Rankings!$K149:$R149), "TBD")</f>
        <v>4.714285714</v>
      </c>
      <c r="G149" s="115">
        <f>IFERROR(_xlfn.STDEV.P(Rankings!$K149:$R149), "TBD")</f>
        <v>1.829464068</v>
      </c>
      <c r="H149" s="117">
        <f>IFERROR(AVERAGE(Rankings!$L149:$R149), "TBD")</f>
        <v>5.166666667</v>
      </c>
      <c r="I149" s="119" t="s">
        <v>682</v>
      </c>
      <c r="J149" s="119" t="s">
        <v>683</v>
      </c>
      <c r="K149" s="120">
        <v>2.0</v>
      </c>
      <c r="L149" s="121">
        <v>2.0</v>
      </c>
      <c r="M149" s="121">
        <v>5.0</v>
      </c>
      <c r="N149" s="121">
        <v>5.0</v>
      </c>
      <c r="O149" s="121">
        <v>6.0</v>
      </c>
      <c r="P149" s="121">
        <v>7.0</v>
      </c>
      <c r="Q149" s="122"/>
      <c r="R149" s="216">
        <v>6.0</v>
      </c>
      <c r="S149" s="126">
        <f>IF(SUM(Rankings!$K149:$R149)&gt;0, COUNTIFS(Rankings!$D$2:$D$987, Rankings!$D149, Rankings!$F$2:$F$987, "&lt;"&amp;Rankings!$F149) + COUNTIFS(Rankings!$D$2:$D$987, Rankings!$D149, Rankings!$F$2:$F$987, Rankings!$F149, Rankings!$G$2:$G$987, "&lt;"&amp;Rankings!$G149)+1, "TBD")</f>
        <v>5</v>
      </c>
      <c r="T149" s="217">
        <v>1.0</v>
      </c>
      <c r="U149" s="217" t="b">
        <f>Rankings!$S149=Rankings!$T149</f>
        <v>0</v>
      </c>
      <c r="V149" s="133"/>
      <c r="W149" s="133"/>
    </row>
    <row r="150" ht="15.75" customHeight="1">
      <c r="A150" s="134"/>
      <c r="B150" s="134"/>
      <c r="C150" s="134"/>
      <c r="D150" s="219">
        <f>D149</f>
        <v>45957</v>
      </c>
      <c r="E150" s="138" t="str">
        <f>$L$1</f>
        <v>Parker</v>
      </c>
      <c r="F150" s="220">
        <f>IFERROR(AVERAGE(Rankings!$K150:$R150), "TBD")</f>
        <v>4.142857143</v>
      </c>
      <c r="G150" s="220">
        <f>IFERROR(_xlfn.STDEV.P(Rankings!$K150:$R150), "TBD")</f>
        <v>2.415933504</v>
      </c>
      <c r="H150" s="221">
        <f>IFERROR(AVERAGE(Rankings!$K150, Rankings!$M150:$R150), "TBD")</f>
        <v>4.166666667</v>
      </c>
      <c r="I150" s="222" t="s">
        <v>684</v>
      </c>
      <c r="J150" s="222" t="s">
        <v>685</v>
      </c>
      <c r="K150" s="143">
        <v>1.0</v>
      </c>
      <c r="L150" s="144">
        <v>4.0</v>
      </c>
      <c r="M150" s="144">
        <v>7.0</v>
      </c>
      <c r="N150" s="144">
        <v>7.0</v>
      </c>
      <c r="O150" s="144">
        <v>1.0</v>
      </c>
      <c r="P150" s="144">
        <v>6.0</v>
      </c>
      <c r="Q150" s="122"/>
      <c r="R150" s="223">
        <v>3.0</v>
      </c>
      <c r="S150" s="147">
        <f>IF(SUM(Rankings!$K150:$R150)&gt;0, COUNTIFS(Rankings!$D$2:$D$987, Rankings!$D150, Rankings!$F$2:$F$987, "&lt;"&amp;Rankings!$F150) + COUNTIFS(Rankings!$D$2:$D$987, Rankings!$D150, Rankings!$F$2:$F$987, Rankings!$F150, Rankings!$G$2:$G$987, "&lt;"&amp;Rankings!$G150)+1, "TBD")</f>
        <v>4</v>
      </c>
      <c r="T150" s="225">
        <v>1.0</v>
      </c>
      <c r="U150" s="225" t="b">
        <f>Rankings!$S150=Rankings!$T150</f>
        <v>0</v>
      </c>
      <c r="V150" s="226"/>
      <c r="W150" s="153"/>
    </row>
    <row r="151" ht="15.75" customHeight="1">
      <c r="A151" s="134"/>
      <c r="B151" s="134"/>
      <c r="C151" s="134"/>
      <c r="D151" s="219">
        <f>D149</f>
        <v>45957</v>
      </c>
      <c r="E151" s="227" t="str">
        <f>$M$1</f>
        <v>Giacomo</v>
      </c>
      <c r="F151" s="220">
        <f>IFERROR(AVERAGE(Rankings!$K151:$R151), "TBD")</f>
        <v>2.285714286</v>
      </c>
      <c r="G151" s="220">
        <f>IFERROR(_xlfn.STDEV.P(Rankings!$K151:$R151), "TBD")</f>
        <v>0.8806305719</v>
      </c>
      <c r="H151" s="221">
        <f>IFERROR(AVERAGE(Rankings!$K151:$L151, Rankings!$N151:$R151), "TBD")</f>
        <v>2.5</v>
      </c>
      <c r="I151" s="222" t="s">
        <v>450</v>
      </c>
      <c r="J151" s="222" t="s">
        <v>686</v>
      </c>
      <c r="K151" s="143">
        <v>3.0</v>
      </c>
      <c r="L151" s="144">
        <v>3.0</v>
      </c>
      <c r="M151" s="144">
        <v>1.0</v>
      </c>
      <c r="N151" s="144">
        <v>3.0</v>
      </c>
      <c r="O151" s="144">
        <v>2.0</v>
      </c>
      <c r="P151" s="144">
        <v>3.0</v>
      </c>
      <c r="Q151" s="122"/>
      <c r="R151" s="223">
        <v>1.0</v>
      </c>
      <c r="S151" s="147">
        <f>IF(SUM(Rankings!$K151:$R151)&gt;0, COUNTIFS(Rankings!$D$2:$D$987, Rankings!$D151, Rankings!$F$2:$F$987, "&lt;"&amp;Rankings!$F151) + COUNTIFS(Rankings!$D$2:$D$987, Rankings!$D151, Rankings!$F$2:$F$987, Rankings!$F151, Rankings!$G$2:$G$987, "&lt;"&amp;Rankings!$G151)+1, "TBD")</f>
        <v>1</v>
      </c>
      <c r="T151" s="225">
        <v>1.0</v>
      </c>
      <c r="U151" s="225" t="b">
        <f>Rankings!$S151=Rankings!$T151</f>
        <v>1</v>
      </c>
      <c r="V151" s="226"/>
      <c r="W151" s="153"/>
    </row>
    <row r="152" ht="15.75" customHeight="1">
      <c r="A152" s="134"/>
      <c r="B152" s="134"/>
      <c r="C152" s="134"/>
      <c r="D152" s="219">
        <f>D149</f>
        <v>45957</v>
      </c>
      <c r="E152" s="227" t="str">
        <f>$N$1</f>
        <v>Rosey</v>
      </c>
      <c r="F152" s="220">
        <f>IFERROR(AVERAGE(Rankings!$K152:$R152), "TBD")</f>
        <v>3</v>
      </c>
      <c r="G152" s="220">
        <f>IFERROR(_xlfn.STDEV.P(Rankings!$K152:$R152), "TBD")</f>
        <v>1.772810521</v>
      </c>
      <c r="H152" s="221">
        <f>IFERROR(AVERAGE(Rankings!$K152:$M152, Rankings!$O152:$R152), "TBD")</f>
        <v>3.333333333</v>
      </c>
      <c r="I152" s="222" t="s">
        <v>687</v>
      </c>
      <c r="J152" s="222" t="s">
        <v>688</v>
      </c>
      <c r="K152" s="143">
        <v>4.0</v>
      </c>
      <c r="L152" s="144">
        <v>1.0</v>
      </c>
      <c r="M152" s="144">
        <v>4.0</v>
      </c>
      <c r="N152" s="144">
        <v>1.0</v>
      </c>
      <c r="O152" s="144">
        <v>5.0</v>
      </c>
      <c r="P152" s="144">
        <v>1.0</v>
      </c>
      <c r="Q152" s="122"/>
      <c r="R152" s="223">
        <v>5.0</v>
      </c>
      <c r="S152" s="147">
        <f>IF(SUM(Rankings!$K152:$R152)&gt;0, COUNTIFS(Rankings!$D$2:$D$987, Rankings!$D152, Rankings!$F$2:$F$987, "&lt;"&amp;Rankings!$F152) + COUNTIFS(Rankings!$D$2:$D$987, Rankings!$D152, Rankings!$F$2:$F$987, Rankings!$F152, Rankings!$G$2:$G$987, "&lt;"&amp;Rankings!$G152)+1, "TBD")</f>
        <v>2</v>
      </c>
      <c r="T152" s="225">
        <v>1.0</v>
      </c>
      <c r="U152" s="225" t="b">
        <f>Rankings!$S152=Rankings!$T152</f>
        <v>0</v>
      </c>
      <c r="V152" s="226"/>
      <c r="W152" s="153"/>
    </row>
    <row r="153" ht="15.75" customHeight="1">
      <c r="A153" s="134"/>
      <c r="B153" s="134"/>
      <c r="C153" s="134"/>
      <c r="D153" s="219">
        <f t="shared" ref="D153:D155" si="22">D149</f>
        <v>45957</v>
      </c>
      <c r="E153" s="227" t="str">
        <f>$O$1</f>
        <v>TTAC</v>
      </c>
      <c r="F153" s="220">
        <f>IFERROR(AVERAGE(Rankings!$K153:$R153), "TBD")</f>
        <v>4.714285714</v>
      </c>
      <c r="G153" s="220">
        <f>IFERROR(_xlfn.STDEV.P(Rankings!$K153:$R153), "TBD")</f>
        <v>1.829464068</v>
      </c>
      <c r="H153" s="221">
        <f>IFERROR(AVERAGE(Rankings!$K153:$N153, Rankings!$P153:$R153), "TBD")</f>
        <v>4.833333333</v>
      </c>
      <c r="I153" s="222" t="s">
        <v>689</v>
      </c>
      <c r="J153" s="222" t="s">
        <v>690</v>
      </c>
      <c r="K153" s="143">
        <v>7.0</v>
      </c>
      <c r="L153" s="144">
        <v>6.0</v>
      </c>
      <c r="M153" s="144">
        <v>3.0</v>
      </c>
      <c r="N153" s="144">
        <v>2.0</v>
      </c>
      <c r="O153" s="144">
        <v>4.0</v>
      </c>
      <c r="P153" s="144">
        <v>4.0</v>
      </c>
      <c r="Q153" s="122"/>
      <c r="R153" s="223">
        <v>7.0</v>
      </c>
      <c r="S153" s="147">
        <f>IF(SUM(Rankings!$K153:$R153)&gt;0, COUNTIFS(Rankings!$D$2:$D$987, Rankings!$D153, Rankings!$F$2:$F$987, "&lt;"&amp;Rankings!$F153) + COUNTIFS(Rankings!$D$2:$D$987, Rankings!$D153, Rankings!$F$2:$F$987, Rankings!$F153, Rankings!$G$2:$G$987, "&lt;"&amp;Rankings!$G153)+1, "TBD")</f>
        <v>5</v>
      </c>
      <c r="T153" s="225">
        <v>1.0</v>
      </c>
      <c r="U153" s="225" t="b">
        <f>Rankings!$S153=Rankings!$T153</f>
        <v>0</v>
      </c>
      <c r="V153" s="226"/>
      <c r="W153" s="153"/>
    </row>
    <row r="154" ht="15.75" customHeight="1">
      <c r="A154" s="134"/>
      <c r="B154" s="134"/>
      <c r="C154" s="134"/>
      <c r="D154" s="219">
        <f t="shared" si="22"/>
        <v>45957</v>
      </c>
      <c r="E154" s="227" t="str">
        <f>$P$1</f>
        <v>Weston</v>
      </c>
      <c r="F154" s="220">
        <f>IFERROR(AVERAGE(Rankings!$K154:$R154), "TBD")</f>
        <v>3.857142857</v>
      </c>
      <c r="G154" s="220">
        <f>IFERROR(_xlfn.STDEV.P(Rankings!$K154:$R154), "TBD")</f>
        <v>1.641303613</v>
      </c>
      <c r="H154" s="221">
        <f>IFERROR(AVERAGE(Rankings!$K154:$O154, Rankings!$R154), "TBD")</f>
        <v>4.166666667</v>
      </c>
      <c r="I154" s="222" t="s">
        <v>691</v>
      </c>
      <c r="J154" s="222" t="s">
        <v>692</v>
      </c>
      <c r="K154" s="143">
        <v>5.0</v>
      </c>
      <c r="L154" s="144">
        <v>7.0</v>
      </c>
      <c r="M154" s="144">
        <v>2.0</v>
      </c>
      <c r="N154" s="144">
        <v>4.0</v>
      </c>
      <c r="O154" s="144">
        <v>3.0</v>
      </c>
      <c r="P154" s="144">
        <v>2.0</v>
      </c>
      <c r="Q154" s="122"/>
      <c r="R154" s="223">
        <v>4.0</v>
      </c>
      <c r="S154" s="147">
        <f>IF(SUM(Rankings!$K154:$R154)&gt;0, COUNTIFS(Rankings!$D$2:$D$987, Rankings!$D154, Rankings!$F$2:$F$987, "&lt;"&amp;Rankings!$F154) + COUNTIFS(Rankings!$D$2:$D$987, Rankings!$D154, Rankings!$F$2:$F$987, Rankings!$F154, Rankings!$G$2:$G$987, "&lt;"&amp;Rankings!$G154)+1, "TBD")</f>
        <v>3</v>
      </c>
      <c r="T154" s="225">
        <v>1.0</v>
      </c>
      <c r="U154" s="225" t="b">
        <f>Rankings!$S154=Rankings!$T154</f>
        <v>0</v>
      </c>
      <c r="V154" s="226"/>
      <c r="W154" s="153"/>
    </row>
    <row r="155" ht="15.75" customHeight="1">
      <c r="A155" s="189"/>
      <c r="B155" s="189"/>
      <c r="C155" s="189"/>
      <c r="D155" s="235">
        <f t="shared" si="22"/>
        <v>45957</v>
      </c>
      <c r="E155" s="237" t="str">
        <f>$R$1</f>
        <v>Jake</v>
      </c>
      <c r="F155" s="240">
        <f>IFERROR(AVERAGE(Rankings!$K155:$R155), "TBD")</f>
        <v>5.285714286</v>
      </c>
      <c r="G155" s="240">
        <f>IFERROR(_xlfn.STDEV.P(Rankings!$K155:$R155), "TBD")</f>
        <v>1.484614978</v>
      </c>
      <c r="H155" s="242">
        <f>IFERROR(AVERAGE(Rankings!$K155:$P155), "TBD")</f>
        <v>5.833333333</v>
      </c>
      <c r="I155" s="243" t="s">
        <v>693</v>
      </c>
      <c r="J155" s="243" t="s">
        <v>694</v>
      </c>
      <c r="K155" s="199">
        <v>6.0</v>
      </c>
      <c r="L155" s="201">
        <v>5.0</v>
      </c>
      <c r="M155" s="201">
        <v>6.0</v>
      </c>
      <c r="N155" s="201">
        <v>6.0</v>
      </c>
      <c r="O155" s="201">
        <v>7.0</v>
      </c>
      <c r="P155" s="201">
        <v>5.0</v>
      </c>
      <c r="Q155" s="122"/>
      <c r="R155" s="244">
        <v>2.0</v>
      </c>
      <c r="S155" s="203">
        <f>IF(SUM(Rankings!$K155:$R155)&gt;0, COUNTIFS(Rankings!$D$2:$D$987, Rankings!$D155, Rankings!$F$2:$F$987, "&lt;"&amp;Rankings!$F155) + COUNTIFS(Rankings!$D$2:$D$987, Rankings!$D155, Rankings!$F$2:$F$987, Rankings!$F155, Rankings!$G$2:$G$987, "&lt;"&amp;Rankings!$G155)+1, "TBD")</f>
        <v>7</v>
      </c>
      <c r="T155" s="247">
        <v>1.0</v>
      </c>
      <c r="U155" s="247" t="b">
        <f>Rankings!$S155=Rankings!$T155</f>
        <v>0</v>
      </c>
      <c r="V155" s="248"/>
      <c r="W155" s="208"/>
    </row>
    <row r="156" ht="15.75" customHeight="1">
      <c r="A156" s="103">
        <v>45959.0</v>
      </c>
      <c r="B156" s="104"/>
      <c r="C156" s="104" t="str">
        <f t="array" ref="C156">INDEX(Rankings!$E156:$E162, MATCH(1, (Rankings!$D156:$D162=$A156)*(Rankings!$U156:$U162=TRUE()), 0))</f>
        <v>Parker</v>
      </c>
      <c r="D156" s="111">
        <f>A156</f>
        <v>45959</v>
      </c>
      <c r="E156" s="113" t="str">
        <f>$K$1</f>
        <v>Logan</v>
      </c>
      <c r="F156" s="115">
        <f>IFERROR(AVERAGE(Rankings!$K156:$R156), "TBD")</f>
        <v>3.857142857</v>
      </c>
      <c r="G156" s="115">
        <f>IFERROR(_xlfn.STDEV.P(Rankings!$K156:$R156), "TBD")</f>
        <v>1.551825784</v>
      </c>
      <c r="H156" s="117">
        <f>IFERROR(AVERAGE(Rankings!$L156:$R156), "TBD")</f>
        <v>3.833333333</v>
      </c>
      <c r="I156" s="119" t="s">
        <v>695</v>
      </c>
      <c r="J156" s="119" t="s">
        <v>696</v>
      </c>
      <c r="K156" s="120">
        <v>4.0</v>
      </c>
      <c r="L156" s="121">
        <v>1.0</v>
      </c>
      <c r="M156" s="121">
        <v>3.0</v>
      </c>
      <c r="N156" s="121">
        <v>5.0</v>
      </c>
      <c r="O156" s="121">
        <v>5.0</v>
      </c>
      <c r="P156" s="121">
        <v>3.0</v>
      </c>
      <c r="Q156" s="122"/>
      <c r="R156" s="216">
        <v>6.0</v>
      </c>
      <c r="S156" s="126">
        <f>IF(SUM(Rankings!$K156:$R156)&gt;0, COUNTIFS(Rankings!$D$2:$D$987, Rankings!$D156, Rankings!$F$2:$F$987, "&lt;"&amp;Rankings!$F156) + COUNTIFS(Rankings!$D$2:$D$987, Rankings!$D156, Rankings!$F$2:$F$987, Rankings!$F156, Rankings!$G$2:$G$987, "&lt;"&amp;Rankings!$G156)+1, "TBD")</f>
        <v>5</v>
      </c>
      <c r="T156" s="217">
        <v>1.0</v>
      </c>
      <c r="U156" s="217" t="b">
        <f>Rankings!$S156=Rankings!$T156</f>
        <v>0</v>
      </c>
      <c r="V156" s="133"/>
      <c r="W156" s="133"/>
    </row>
    <row r="157" ht="15.75" customHeight="1">
      <c r="A157" s="134"/>
      <c r="B157" s="134"/>
      <c r="C157" s="134"/>
      <c r="D157" s="219">
        <f>D156</f>
        <v>45959</v>
      </c>
      <c r="E157" s="138" t="str">
        <f>$L$1</f>
        <v>Parker</v>
      </c>
      <c r="F157" s="220">
        <f>IFERROR(AVERAGE(Rankings!$K157:$R157), "TBD")</f>
        <v>3.142857143</v>
      </c>
      <c r="G157" s="220">
        <f>IFERROR(_xlfn.STDEV.P(Rankings!$K157:$R157), "TBD")</f>
        <v>1.884415137</v>
      </c>
      <c r="H157" s="221">
        <f>IFERROR(AVERAGE(Rankings!$K157, Rankings!$M157:$R157), "TBD")</f>
        <v>3.333333333</v>
      </c>
      <c r="I157" s="222" t="s">
        <v>455</v>
      </c>
      <c r="J157" s="222" t="s">
        <v>313</v>
      </c>
      <c r="K157" s="143">
        <v>2.0</v>
      </c>
      <c r="L157" s="144">
        <v>2.0</v>
      </c>
      <c r="M157" s="144">
        <v>5.0</v>
      </c>
      <c r="N157" s="144">
        <v>2.0</v>
      </c>
      <c r="O157" s="144">
        <v>7.0</v>
      </c>
      <c r="P157" s="144">
        <v>2.0</v>
      </c>
      <c r="Q157" s="122"/>
      <c r="R157" s="223">
        <v>2.0</v>
      </c>
      <c r="S157" s="147">
        <f>IF(SUM(Rankings!$K157:$R157)&gt;0, COUNTIFS(Rankings!$D$2:$D$987, Rankings!$D157, Rankings!$F$2:$F$987, "&lt;"&amp;Rankings!$F157) + COUNTIFS(Rankings!$D$2:$D$987, Rankings!$D157, Rankings!$F$2:$F$987, Rankings!$F157, Rankings!$G$2:$G$987, "&lt;"&amp;Rankings!$G157)+1, "TBD")</f>
        <v>1</v>
      </c>
      <c r="T157" s="225">
        <v>1.0</v>
      </c>
      <c r="U157" s="225" t="b">
        <f>Rankings!$S157=Rankings!$T157</f>
        <v>1</v>
      </c>
      <c r="V157" s="226"/>
      <c r="W157" s="153"/>
    </row>
    <row r="158" ht="15.0" customHeight="1">
      <c r="A158" s="134"/>
      <c r="B158" s="134"/>
      <c r="C158" s="134"/>
      <c r="D158" s="219">
        <f>D156</f>
        <v>45959</v>
      </c>
      <c r="E158" s="227" t="str">
        <f>$M$1</f>
        <v>Giacomo</v>
      </c>
      <c r="F158" s="220">
        <f>IFERROR(AVERAGE(Rankings!$K158:$R158), "TBD")</f>
        <v>3.142857143</v>
      </c>
      <c r="G158" s="220">
        <f>IFERROR(_xlfn.STDEV.P(Rankings!$K158:$R158), "TBD")</f>
        <v>2.231499907</v>
      </c>
      <c r="H158" s="221">
        <f>IFERROR(AVERAGE(Rankings!$K158:$L158, Rankings!$N158:$R158), "TBD")</f>
        <v>3.333333333</v>
      </c>
      <c r="I158" s="222" t="s">
        <v>697</v>
      </c>
      <c r="J158" s="222" t="s">
        <v>698</v>
      </c>
      <c r="K158" s="143">
        <v>1.0</v>
      </c>
      <c r="L158" s="144">
        <v>3.0</v>
      </c>
      <c r="M158" s="144">
        <v>2.0</v>
      </c>
      <c r="N158" s="144">
        <v>6.0</v>
      </c>
      <c r="O158" s="144">
        <v>2.0</v>
      </c>
      <c r="P158" s="144">
        <v>7.0</v>
      </c>
      <c r="Q158" s="122"/>
      <c r="R158" s="223">
        <v>1.0</v>
      </c>
      <c r="S158" s="147">
        <f>IF(SUM(Rankings!$K158:$R158)&gt;0, COUNTIFS(Rankings!$D$2:$D$987, Rankings!$D158, Rankings!$F$2:$F$987, "&lt;"&amp;Rankings!$F158) + COUNTIFS(Rankings!$D$2:$D$987, Rankings!$D158, Rankings!$F$2:$F$987, Rankings!$F158, Rankings!$G$2:$G$987, "&lt;"&amp;Rankings!$G158)+1, "TBD")</f>
        <v>2</v>
      </c>
      <c r="T158" s="225">
        <v>1.0</v>
      </c>
      <c r="U158" s="225" t="b">
        <f>Rankings!$S158=Rankings!$T158</f>
        <v>0</v>
      </c>
      <c r="V158" s="226"/>
      <c r="W158" s="153"/>
    </row>
    <row r="159" ht="15.75" customHeight="1">
      <c r="A159" s="134"/>
      <c r="B159" s="134"/>
      <c r="C159" s="134"/>
      <c r="D159" s="219">
        <f>D156</f>
        <v>45959</v>
      </c>
      <c r="E159" s="227" t="str">
        <f>$N$1</f>
        <v>Rosey</v>
      </c>
      <c r="F159" s="220">
        <f>IFERROR(AVERAGE(Rankings!$K159:$R159), "TBD")</f>
        <v>3.714285714</v>
      </c>
      <c r="G159" s="220">
        <f>IFERROR(_xlfn.STDEV.P(Rankings!$K159:$R159), "TBD")</f>
        <v>1.829464068</v>
      </c>
      <c r="H159" s="221">
        <f>IFERROR(AVERAGE(Rankings!$K159:$M159, Rankings!$O159:$R159), "TBD")</f>
        <v>4.166666667</v>
      </c>
      <c r="I159" s="222" t="s">
        <v>699</v>
      </c>
      <c r="J159" s="222" t="s">
        <v>700</v>
      </c>
      <c r="K159" s="143">
        <v>5.0</v>
      </c>
      <c r="L159" s="144">
        <v>5.0</v>
      </c>
      <c r="M159" s="144">
        <v>1.0</v>
      </c>
      <c r="N159" s="144">
        <v>1.0</v>
      </c>
      <c r="O159" s="144">
        <v>6.0</v>
      </c>
      <c r="P159" s="144">
        <v>4.0</v>
      </c>
      <c r="Q159" s="122"/>
      <c r="R159" s="223">
        <v>4.0</v>
      </c>
      <c r="S159" s="147">
        <f>IF(SUM(Rankings!$K159:$R159)&gt;0, COUNTIFS(Rankings!$D$2:$D$987, Rankings!$D159, Rankings!$F$2:$F$987, "&lt;"&amp;Rankings!$F159) + COUNTIFS(Rankings!$D$2:$D$987, Rankings!$D159, Rankings!$F$2:$F$987, Rankings!$F159, Rankings!$G$2:$G$987, "&lt;"&amp;Rankings!$G159)+1, "TBD")</f>
        <v>4</v>
      </c>
      <c r="T159" s="225">
        <v>1.0</v>
      </c>
      <c r="U159" s="225" t="b">
        <f>Rankings!$S159=Rankings!$T159</f>
        <v>0</v>
      </c>
      <c r="V159" s="226"/>
      <c r="W159" s="153"/>
    </row>
    <row r="160" ht="15.75" customHeight="1">
      <c r="A160" s="134"/>
      <c r="B160" s="134"/>
      <c r="C160" s="134"/>
      <c r="D160" s="219">
        <f t="shared" ref="D160:D162" si="23">D156</f>
        <v>45959</v>
      </c>
      <c r="E160" s="227" t="str">
        <f>$O$1</f>
        <v>TTAC</v>
      </c>
      <c r="F160" s="220">
        <f>IFERROR(AVERAGE(Rankings!$K160:$R160), "TBD")</f>
        <v>5.714285714</v>
      </c>
      <c r="G160" s="220">
        <f>IFERROR(_xlfn.STDEV.P(Rankings!$K160:$R160), "TBD")</f>
        <v>1.979486637</v>
      </c>
      <c r="H160" s="221">
        <f>IFERROR(AVERAGE(Rankings!$K160:$N160, Rankings!$P160:$R160), "TBD")</f>
        <v>6.5</v>
      </c>
      <c r="I160" s="222" t="s">
        <v>701</v>
      </c>
      <c r="J160" s="222" t="s">
        <v>702</v>
      </c>
      <c r="K160" s="143">
        <v>6.0</v>
      </c>
      <c r="L160" s="144">
        <v>7.0</v>
      </c>
      <c r="M160" s="144">
        <v>6.0</v>
      </c>
      <c r="N160" s="144">
        <v>7.0</v>
      </c>
      <c r="O160" s="144">
        <v>1.0</v>
      </c>
      <c r="P160" s="144">
        <v>6.0</v>
      </c>
      <c r="Q160" s="122"/>
      <c r="R160" s="223">
        <v>7.0</v>
      </c>
      <c r="S160" s="147">
        <f>IF(SUM(Rankings!$K160:$R160)&gt;0, COUNTIFS(Rankings!$D$2:$D$987, Rankings!$D160, Rankings!$F$2:$F$987, "&lt;"&amp;Rankings!$F160) + COUNTIFS(Rankings!$D$2:$D$987, Rankings!$D160, Rankings!$F$2:$F$987, Rankings!$F160, Rankings!$G$2:$G$987, "&lt;"&amp;Rankings!$G160)+1, "TBD")</f>
        <v>7</v>
      </c>
      <c r="T160" s="225">
        <v>1.0</v>
      </c>
      <c r="U160" s="225" t="b">
        <f>Rankings!$S160=Rankings!$T160</f>
        <v>0</v>
      </c>
      <c r="V160" s="226"/>
      <c r="W160" s="153"/>
    </row>
    <row r="161" ht="15.75" customHeight="1">
      <c r="A161" s="134"/>
      <c r="B161" s="134"/>
      <c r="C161" s="134"/>
      <c r="D161" s="219">
        <f t="shared" si="23"/>
        <v>45959</v>
      </c>
      <c r="E161" s="227" t="str">
        <f>$P$1</f>
        <v>Weston</v>
      </c>
      <c r="F161" s="220">
        <f>IFERROR(AVERAGE(Rankings!$K161:$R161), "TBD")</f>
        <v>3.714285714</v>
      </c>
      <c r="G161" s="220">
        <f>IFERROR(_xlfn.STDEV.P(Rankings!$K161:$R161), "TBD")</f>
        <v>1.665986256</v>
      </c>
      <c r="H161" s="221">
        <f>IFERROR(AVERAGE(Rankings!$K161:$O161, Rankings!$R161), "TBD")</f>
        <v>4.166666667</v>
      </c>
      <c r="I161" s="222" t="s">
        <v>703</v>
      </c>
      <c r="J161" s="222" t="s">
        <v>704</v>
      </c>
      <c r="K161" s="143">
        <v>7.0</v>
      </c>
      <c r="L161" s="144">
        <v>4.0</v>
      </c>
      <c r="M161" s="144">
        <v>4.0</v>
      </c>
      <c r="N161" s="144">
        <v>3.0</v>
      </c>
      <c r="O161" s="144">
        <v>4.0</v>
      </c>
      <c r="P161" s="144">
        <v>1.0</v>
      </c>
      <c r="Q161" s="122"/>
      <c r="R161" s="223">
        <v>3.0</v>
      </c>
      <c r="S161" s="147">
        <f>IF(SUM(Rankings!$K161:$R161)&gt;0, COUNTIFS(Rankings!$D$2:$D$987, Rankings!$D161, Rankings!$F$2:$F$987, "&lt;"&amp;Rankings!$F161) + COUNTIFS(Rankings!$D$2:$D$987, Rankings!$D161, Rankings!$F$2:$F$987, Rankings!$F161, Rankings!$G$2:$G$987, "&lt;"&amp;Rankings!$G161)+1, "TBD")</f>
        <v>3</v>
      </c>
      <c r="T161" s="225">
        <v>1.0</v>
      </c>
      <c r="U161" s="225" t="b">
        <f>Rankings!$S161=Rankings!$T161</f>
        <v>0</v>
      </c>
      <c r="V161" s="226"/>
      <c r="W161" s="153"/>
    </row>
    <row r="162" ht="15.75" customHeight="1">
      <c r="A162" s="189"/>
      <c r="B162" s="189"/>
      <c r="C162" s="189"/>
      <c r="D162" s="235">
        <f t="shared" si="23"/>
        <v>45959</v>
      </c>
      <c r="E162" s="237" t="str">
        <f>$R$1</f>
        <v>Jake</v>
      </c>
      <c r="F162" s="240">
        <f>IFERROR(AVERAGE(Rankings!$K162:$R162), "TBD")</f>
        <v>4.714285714</v>
      </c>
      <c r="G162" s="240">
        <f>IFERROR(_xlfn.STDEV.P(Rankings!$K162:$R162), "TBD")</f>
        <v>1.385051388</v>
      </c>
      <c r="H162" s="242">
        <f>IFERROR(AVERAGE(Rankings!$K162:$P162), "TBD")</f>
        <v>4.666666667</v>
      </c>
      <c r="I162" s="243" t="s">
        <v>705</v>
      </c>
      <c r="J162" s="243" t="s">
        <v>706</v>
      </c>
      <c r="K162" s="199">
        <v>3.0</v>
      </c>
      <c r="L162" s="201">
        <v>6.0</v>
      </c>
      <c r="M162" s="201">
        <v>7.0</v>
      </c>
      <c r="N162" s="201">
        <v>4.0</v>
      </c>
      <c r="O162" s="201">
        <v>3.0</v>
      </c>
      <c r="P162" s="201">
        <v>5.0</v>
      </c>
      <c r="Q162" s="122"/>
      <c r="R162" s="244">
        <v>5.0</v>
      </c>
      <c r="S162" s="203">
        <f>IF(SUM(Rankings!$K162:$R162)&gt;0, COUNTIFS(Rankings!$D$2:$D$987, Rankings!$D162, Rankings!$F$2:$F$987, "&lt;"&amp;Rankings!$F162) + COUNTIFS(Rankings!$D$2:$D$987, Rankings!$D162, Rankings!$F$2:$F$987, Rankings!$F162, Rankings!$G$2:$G$987, "&lt;"&amp;Rankings!$G162)+1, "TBD")</f>
        <v>6</v>
      </c>
      <c r="T162" s="247">
        <v>1.0</v>
      </c>
      <c r="U162" s="247" t="b">
        <f>Rankings!$S162=Rankings!$T162</f>
        <v>0</v>
      </c>
      <c r="V162" s="248"/>
      <c r="W162" s="208"/>
    </row>
    <row r="163" ht="15.0" customHeight="1">
      <c r="A163" s="103">
        <v>45961.0</v>
      </c>
      <c r="B163" s="104"/>
      <c r="C163" s="104" t="str">
        <f t="array" ref="C163">INDEX(Rankings!$E163:$E169, MATCH(1, (Rankings!$D163:$D169=$A163)*(Rankings!$U163:$U169=TRUE()), 0))</f>
        <v>Logan</v>
      </c>
      <c r="D163" s="111">
        <f>A163</f>
        <v>45961</v>
      </c>
      <c r="E163" s="113" t="str">
        <f>$K$1</f>
        <v>Logan</v>
      </c>
      <c r="F163" s="115">
        <f>IFERROR(AVERAGE(Rankings!$K163:$R163), "TBD")</f>
        <v>3.285714286</v>
      </c>
      <c r="G163" s="115">
        <f>IFERROR(_xlfn.STDEV.P(Rankings!$K163:$R163), "TBD")</f>
        <v>1.749635531</v>
      </c>
      <c r="H163" s="117">
        <f>IFERROR(AVERAGE(Rankings!$L163:$R163), "TBD")</f>
        <v>3.333333333</v>
      </c>
      <c r="I163" s="119" t="s">
        <v>95</v>
      </c>
      <c r="J163" s="119" t="s">
        <v>707</v>
      </c>
      <c r="K163" s="120">
        <v>3.0</v>
      </c>
      <c r="L163" s="121">
        <v>2.0</v>
      </c>
      <c r="M163" s="121">
        <v>3.0</v>
      </c>
      <c r="N163" s="121">
        <v>1.0</v>
      </c>
      <c r="O163" s="121">
        <v>3.0</v>
      </c>
      <c r="P163" s="121">
        <v>7.0</v>
      </c>
      <c r="Q163" s="122"/>
      <c r="R163" s="216">
        <v>4.0</v>
      </c>
      <c r="S163" s="126">
        <f>IF(SUM(Rankings!$K163:$R163)&gt;0, COUNTIFS(Rankings!$D$2:$D$987, Rankings!$D163, Rankings!$F$2:$F$987, "&lt;"&amp;Rankings!$F163) + COUNTIFS(Rankings!$D$2:$D$987, Rankings!$D163, Rankings!$F$2:$F$987, Rankings!$F163, Rankings!$G$2:$G$987, "&lt;"&amp;Rankings!$G163)+1, "TBD")</f>
        <v>1</v>
      </c>
      <c r="T163" s="217">
        <v>1.0</v>
      </c>
      <c r="U163" s="217" t="b">
        <f>Rankings!$S163=Rankings!$T163</f>
        <v>1</v>
      </c>
      <c r="V163" s="329"/>
      <c r="W163" s="329" t="s">
        <v>708</v>
      </c>
    </row>
    <row r="164" ht="15.75" customHeight="1">
      <c r="A164" s="134"/>
      <c r="B164" s="134"/>
      <c r="C164" s="134"/>
      <c r="D164" s="219">
        <f>D163</f>
        <v>45961</v>
      </c>
      <c r="E164" s="138" t="str">
        <f>$L$1</f>
        <v>Parker</v>
      </c>
      <c r="F164" s="220">
        <f>IFERROR(AVERAGE(Rankings!$K164:$R164), "TBD")</f>
        <v>3.285714286</v>
      </c>
      <c r="G164" s="220">
        <f>IFERROR(_xlfn.STDEV.P(Rankings!$K164:$R164), "TBD")</f>
        <v>2.312344865</v>
      </c>
      <c r="H164" s="221">
        <f>IFERROR(AVERAGE(Rankings!$K164, Rankings!$M164:$R164), "TBD")</f>
        <v>3.666666667</v>
      </c>
      <c r="I164" s="222" t="s">
        <v>709</v>
      </c>
      <c r="J164" s="222" t="s">
        <v>710</v>
      </c>
      <c r="K164" s="143">
        <v>4.0</v>
      </c>
      <c r="L164" s="144">
        <v>1.0</v>
      </c>
      <c r="M164" s="144">
        <v>1.0</v>
      </c>
      <c r="N164" s="144">
        <v>7.0</v>
      </c>
      <c r="O164" s="144">
        <v>1.0</v>
      </c>
      <c r="P164" s="144">
        <v>3.0</v>
      </c>
      <c r="Q164" s="122"/>
      <c r="R164" s="223">
        <v>6.0</v>
      </c>
      <c r="S164" s="147">
        <f>IF(SUM(Rankings!$K164:$R164)&gt;0, COUNTIFS(Rankings!$D$2:$D$987, Rankings!$D164, Rankings!$F$2:$F$987, "&lt;"&amp;Rankings!$F164) + COUNTIFS(Rankings!$D$2:$D$987, Rankings!$D164, Rankings!$F$2:$F$987, Rankings!$F164, Rankings!$G$2:$G$987, "&lt;"&amp;Rankings!$G164)+1, "TBD")</f>
        <v>2</v>
      </c>
      <c r="T164" s="225">
        <v>1.0</v>
      </c>
      <c r="U164" s="225" t="b">
        <f>Rankings!$S164=Rankings!$T164</f>
        <v>0</v>
      </c>
      <c r="V164" s="330"/>
      <c r="W164" s="153"/>
    </row>
    <row r="165" ht="15.75" customHeight="1">
      <c r="A165" s="134"/>
      <c r="B165" s="134"/>
      <c r="C165" s="134"/>
      <c r="D165" s="219">
        <f>D163</f>
        <v>45961</v>
      </c>
      <c r="E165" s="227" t="str">
        <f>$M$1</f>
        <v>Giacomo</v>
      </c>
      <c r="F165" s="220">
        <f>IFERROR(AVERAGE(Rankings!$K165:$R165), "TBD")</f>
        <v>4.285714286</v>
      </c>
      <c r="G165" s="220">
        <f>IFERROR(_xlfn.STDEV.P(Rankings!$K165:$R165), "TBD")</f>
        <v>1.27775313</v>
      </c>
      <c r="H165" s="221">
        <f>IFERROR(AVERAGE(Rankings!$K165:$L165, Rankings!$N165:$R165), "TBD")</f>
        <v>4.666666667</v>
      </c>
      <c r="I165" s="222" t="s">
        <v>711</v>
      </c>
      <c r="J165" s="222" t="s">
        <v>712</v>
      </c>
      <c r="K165" s="143">
        <v>6.0</v>
      </c>
      <c r="L165" s="144">
        <v>3.0</v>
      </c>
      <c r="M165" s="144">
        <v>2.0</v>
      </c>
      <c r="N165" s="144">
        <v>5.0</v>
      </c>
      <c r="O165" s="144">
        <v>4.0</v>
      </c>
      <c r="P165" s="144">
        <v>5.0</v>
      </c>
      <c r="Q165" s="122"/>
      <c r="R165" s="223">
        <v>5.0</v>
      </c>
      <c r="S165" s="147">
        <f>IF(SUM(Rankings!$K165:$R165)&gt;0, COUNTIFS(Rankings!$D$2:$D$987, Rankings!$D165, Rankings!$F$2:$F$987, "&lt;"&amp;Rankings!$F165) + COUNTIFS(Rankings!$D$2:$D$987, Rankings!$D165, Rankings!$F$2:$F$987, Rankings!$F165, Rankings!$G$2:$G$987, "&lt;"&amp;Rankings!$G165)+1, "TBD")</f>
        <v>5</v>
      </c>
      <c r="T165" s="225">
        <v>1.0</v>
      </c>
      <c r="U165" s="225" t="b">
        <f>Rankings!$S165=Rankings!$T165</f>
        <v>0</v>
      </c>
      <c r="V165" s="330"/>
      <c r="W165" s="153"/>
    </row>
    <row r="166" ht="15.75" customHeight="1">
      <c r="A166" s="134"/>
      <c r="B166" s="134"/>
      <c r="C166" s="134"/>
      <c r="D166" s="219">
        <f>D163</f>
        <v>45961</v>
      </c>
      <c r="E166" s="227" t="str">
        <f>$N$1</f>
        <v>Rosey</v>
      </c>
      <c r="F166" s="220">
        <f>IFERROR(AVERAGE(Rankings!$K166:$R166), "TBD")</f>
        <v>3.857142857</v>
      </c>
      <c r="G166" s="220">
        <f>IFERROR(_xlfn.STDEV.P(Rankings!$K166:$R166), "TBD")</f>
        <v>1.726149425</v>
      </c>
      <c r="H166" s="221">
        <f>IFERROR(AVERAGE(Rankings!$K166:$M166, Rankings!$O166:$R166), "TBD")</f>
        <v>4.166666667</v>
      </c>
      <c r="I166" s="222" t="s">
        <v>713</v>
      </c>
      <c r="J166" s="222" t="s">
        <v>714</v>
      </c>
      <c r="K166" s="143">
        <v>5.0</v>
      </c>
      <c r="L166" s="144">
        <v>5.0</v>
      </c>
      <c r="M166" s="144">
        <v>6.0</v>
      </c>
      <c r="N166" s="144">
        <v>2.0</v>
      </c>
      <c r="O166" s="144">
        <v>5.0</v>
      </c>
      <c r="P166" s="144">
        <v>1.0</v>
      </c>
      <c r="Q166" s="122"/>
      <c r="R166" s="223">
        <v>3.0</v>
      </c>
      <c r="S166" s="147">
        <f>IF(SUM(Rankings!$K166:$R166)&gt;0, COUNTIFS(Rankings!$D$2:$D$987, Rankings!$D166, Rankings!$F$2:$F$987, "&lt;"&amp;Rankings!$F166) + COUNTIFS(Rankings!$D$2:$D$987, Rankings!$D166, Rankings!$F$2:$F$987, Rankings!$F166, Rankings!$G$2:$G$987, "&lt;"&amp;Rankings!$G166)+1, "TBD")</f>
        <v>3</v>
      </c>
      <c r="T166" s="225">
        <v>1.0</v>
      </c>
      <c r="U166" s="225" t="b">
        <f>Rankings!$S166=Rankings!$T166</f>
        <v>0</v>
      </c>
      <c r="V166" s="330"/>
      <c r="W166" s="153"/>
    </row>
    <row r="167" ht="15.75" customHeight="1">
      <c r="A167" s="134"/>
      <c r="B167" s="134"/>
      <c r="C167" s="134"/>
      <c r="D167" s="219">
        <f t="shared" ref="D167:D169" si="24">D163</f>
        <v>45961</v>
      </c>
      <c r="E167" s="227" t="str">
        <f>$O$1</f>
        <v>TTAC</v>
      </c>
      <c r="F167" s="220">
        <f>IFERROR(AVERAGE(Rankings!$K167:$R167), "TBD")</f>
        <v>5.142857143</v>
      </c>
      <c r="G167" s="220">
        <f>IFERROR(_xlfn.STDEV.P(Rankings!$K167:$R167), "TBD")</f>
        <v>1.726149425</v>
      </c>
      <c r="H167" s="221">
        <f>IFERROR(AVERAGE(Rankings!$K167:$N167, Rankings!$P167:$R167), "TBD")</f>
        <v>5.666666667</v>
      </c>
      <c r="I167" s="222" t="s">
        <v>715</v>
      </c>
      <c r="J167" s="222" t="s">
        <v>716</v>
      </c>
      <c r="K167" s="143">
        <v>7.0</v>
      </c>
      <c r="L167" s="144">
        <v>4.0</v>
      </c>
      <c r="M167" s="144">
        <v>4.0</v>
      </c>
      <c r="N167" s="144">
        <v>6.0</v>
      </c>
      <c r="O167" s="144">
        <v>2.0</v>
      </c>
      <c r="P167" s="144">
        <v>6.0</v>
      </c>
      <c r="Q167" s="122"/>
      <c r="R167" s="223">
        <v>7.0</v>
      </c>
      <c r="S167" s="147">
        <f>IF(SUM(Rankings!$K167:$R167)&gt;0, COUNTIFS(Rankings!$D$2:$D$987, Rankings!$D167, Rankings!$F$2:$F$987, "&lt;"&amp;Rankings!$F167) + COUNTIFS(Rankings!$D$2:$D$987, Rankings!$D167, Rankings!$F$2:$F$987, Rankings!$F167, Rankings!$G$2:$G$987, "&lt;"&amp;Rankings!$G167)+1, "TBD")</f>
        <v>7</v>
      </c>
      <c r="T167" s="225">
        <v>1.0</v>
      </c>
      <c r="U167" s="225" t="b">
        <f>Rankings!$S167=Rankings!$T167</f>
        <v>0</v>
      </c>
      <c r="V167" s="330"/>
      <c r="W167" s="153"/>
    </row>
    <row r="168" ht="15.0" customHeight="1">
      <c r="A168" s="134"/>
      <c r="B168" s="134"/>
      <c r="C168" s="134"/>
      <c r="D168" s="219">
        <f t="shared" si="24"/>
        <v>45961</v>
      </c>
      <c r="E168" s="227" t="str">
        <f>$P$1</f>
        <v>Weston</v>
      </c>
      <c r="F168" s="220">
        <f>IFERROR(AVERAGE(Rankings!$K168:$R168), "TBD")</f>
        <v>4.285714286</v>
      </c>
      <c r="G168" s="220">
        <f>IFERROR(_xlfn.STDEV.P(Rankings!$K168:$R168), "TBD")</f>
        <v>1.749635531</v>
      </c>
      <c r="H168" s="221">
        <f>IFERROR(AVERAGE(Rankings!$K168:$O168, Rankings!$R168), "TBD")</f>
        <v>4.333333333</v>
      </c>
      <c r="I168" s="222" t="s">
        <v>717</v>
      </c>
      <c r="J168" s="222" t="s">
        <v>718</v>
      </c>
      <c r="K168" s="143">
        <v>2.0</v>
      </c>
      <c r="L168" s="144">
        <v>7.0</v>
      </c>
      <c r="M168" s="144">
        <v>5.0</v>
      </c>
      <c r="N168" s="144">
        <v>4.0</v>
      </c>
      <c r="O168" s="144">
        <v>6.0</v>
      </c>
      <c r="P168" s="144">
        <v>4.0</v>
      </c>
      <c r="Q168" s="122"/>
      <c r="R168" s="223">
        <v>2.0</v>
      </c>
      <c r="S168" s="147">
        <f>IF(SUM(Rankings!$K168:$R168)&gt;0, COUNTIFS(Rankings!$D$2:$D$987, Rankings!$D168, Rankings!$F$2:$F$987, "&lt;"&amp;Rankings!$F168) + COUNTIFS(Rankings!$D$2:$D$987, Rankings!$D168, Rankings!$F$2:$F$987, Rankings!$F168, Rankings!$G$2:$G$987, "&lt;"&amp;Rankings!$G168)+1, "TBD")</f>
        <v>6</v>
      </c>
      <c r="T168" s="225">
        <v>1.0</v>
      </c>
      <c r="U168" s="225" t="b">
        <f>Rankings!$S168=Rankings!$T168</f>
        <v>0</v>
      </c>
      <c r="V168" s="330"/>
      <c r="W168" s="153"/>
    </row>
    <row r="169" ht="15.75" customHeight="1">
      <c r="A169" s="189"/>
      <c r="B169" s="189"/>
      <c r="C169" s="189"/>
      <c r="D169" s="235">
        <f t="shared" si="24"/>
        <v>45961</v>
      </c>
      <c r="E169" s="237" t="str">
        <f>$R$1</f>
        <v>Jake</v>
      </c>
      <c r="F169" s="240">
        <f>IFERROR(AVERAGE(Rankings!$K169:$R169), "TBD")</f>
        <v>3.857142857</v>
      </c>
      <c r="G169" s="240">
        <f>IFERROR(_xlfn.STDEV.P(Rankings!$K169:$R169), "TBD")</f>
        <v>2.531435021</v>
      </c>
      <c r="H169" s="242">
        <f>IFERROR(AVERAGE(Rankings!$K169:$P169), "TBD")</f>
        <v>4.333333333</v>
      </c>
      <c r="I169" s="243" t="s">
        <v>719</v>
      </c>
      <c r="J169" s="243" t="s">
        <v>720</v>
      </c>
      <c r="K169" s="199">
        <v>1.0</v>
      </c>
      <c r="L169" s="201">
        <v>6.0</v>
      </c>
      <c r="M169" s="201">
        <v>7.0</v>
      </c>
      <c r="N169" s="201">
        <v>3.0</v>
      </c>
      <c r="O169" s="201">
        <v>7.0</v>
      </c>
      <c r="P169" s="201">
        <v>2.0</v>
      </c>
      <c r="Q169" s="122"/>
      <c r="R169" s="244">
        <v>1.0</v>
      </c>
      <c r="S169" s="203">
        <f>IF(SUM(Rankings!$K169:$R169)&gt;0, COUNTIFS(Rankings!$D$2:$D$987, Rankings!$D169, Rankings!$F$2:$F$987, "&lt;"&amp;Rankings!$F169) + COUNTIFS(Rankings!$D$2:$D$987, Rankings!$D169, Rankings!$F$2:$F$987, Rankings!$F169, Rankings!$G$2:$G$987, "&lt;"&amp;Rankings!$G169)+1, "TBD")</f>
        <v>4</v>
      </c>
      <c r="T169" s="247">
        <v>1.0</v>
      </c>
      <c r="U169" s="247" t="b">
        <f>Rankings!$S169=Rankings!$T169</f>
        <v>0</v>
      </c>
      <c r="V169" s="344"/>
      <c r="W169" s="208"/>
    </row>
    <row r="170" ht="15.75" customHeight="1">
      <c r="A170" s="103">
        <v>45964.0</v>
      </c>
      <c r="B170" s="104"/>
      <c r="C170" s="104" t="str">
        <f t="array" ref="C170">INDEX(Rankings!$E170:$E176, MATCH(1, (Rankings!$D170:$D176=$A170)*(Rankings!$U170:$U176=TRUE()), 0))</f>
        <v>Weston</v>
      </c>
      <c r="D170" s="111">
        <f>A170</f>
        <v>45964</v>
      </c>
      <c r="E170" s="113" t="str">
        <f>$K$1</f>
        <v>Logan</v>
      </c>
      <c r="F170" s="115">
        <f>IFERROR(AVERAGE(Rankings!$K170:$R170), "TBD")</f>
        <v>5</v>
      </c>
      <c r="G170" s="115">
        <f>IFERROR(_xlfn.STDEV.P(Rankings!$K170:$R170), "TBD")</f>
        <v>1.927248223</v>
      </c>
      <c r="H170" s="117">
        <f>IFERROR(AVERAGE(Rankings!$L170:$R170), "TBD")</f>
        <v>5.166666667</v>
      </c>
      <c r="I170" s="119" t="s">
        <v>721</v>
      </c>
      <c r="J170" s="119" t="s">
        <v>722</v>
      </c>
      <c r="K170" s="120">
        <v>4.0</v>
      </c>
      <c r="L170" s="121">
        <v>7.0</v>
      </c>
      <c r="M170" s="121">
        <v>2.0</v>
      </c>
      <c r="N170" s="121">
        <v>5.0</v>
      </c>
      <c r="O170" s="121">
        <v>7.0</v>
      </c>
      <c r="P170" s="121">
        <v>7.0</v>
      </c>
      <c r="Q170" s="122"/>
      <c r="R170" s="216">
        <v>3.0</v>
      </c>
      <c r="S170" s="126">
        <f>IF(SUM(Rankings!$K170:$R170)&gt;0, COUNTIFS(Rankings!$D$2:$D$987, Rankings!$D170, Rankings!$F$2:$F$987, "&lt;"&amp;Rankings!$F170) + COUNTIFS(Rankings!$D$2:$D$987, Rankings!$D170, Rankings!$F$2:$F$987, Rankings!$F170, Rankings!$G$2:$G$987, "&lt;"&amp;Rankings!$G170)+1, "TBD")</f>
        <v>6</v>
      </c>
      <c r="T170" s="217">
        <v>1.0</v>
      </c>
      <c r="U170" s="217" t="b">
        <f>Rankings!$S170=Rankings!$T170</f>
        <v>0</v>
      </c>
      <c r="V170" s="133"/>
      <c r="W170" s="133"/>
    </row>
    <row r="171" ht="15.75" customHeight="1">
      <c r="A171" s="134"/>
      <c r="B171" s="134"/>
      <c r="C171" s="134"/>
      <c r="D171" s="219">
        <f>D170</f>
        <v>45964</v>
      </c>
      <c r="E171" s="138" t="str">
        <f>$L$1</f>
        <v>Parker</v>
      </c>
      <c r="F171" s="220">
        <f>IFERROR(AVERAGE(Rankings!$K171:$R171), "TBD")</f>
        <v>3.285714286</v>
      </c>
      <c r="G171" s="220">
        <f>IFERROR(_xlfn.STDEV.P(Rankings!$K171:$R171), "TBD")</f>
        <v>1.27775313</v>
      </c>
      <c r="H171" s="221">
        <f>IFERROR(AVERAGE(Rankings!$K171, Rankings!$M171:$R171), "TBD")</f>
        <v>3.5</v>
      </c>
      <c r="I171" s="222" t="s">
        <v>723</v>
      </c>
      <c r="J171" s="222" t="s">
        <v>724</v>
      </c>
      <c r="K171" s="143">
        <v>5.0</v>
      </c>
      <c r="L171" s="144">
        <v>2.0</v>
      </c>
      <c r="M171" s="144">
        <v>3.0</v>
      </c>
      <c r="N171" s="144">
        <v>4.0</v>
      </c>
      <c r="O171" s="144">
        <v>1.0</v>
      </c>
      <c r="P171" s="144">
        <v>4.0</v>
      </c>
      <c r="Q171" s="122"/>
      <c r="R171" s="223">
        <v>4.0</v>
      </c>
      <c r="S171" s="147">
        <f>IF(SUM(Rankings!$K171:$R171)&gt;0, COUNTIFS(Rankings!$D$2:$D$987, Rankings!$D171, Rankings!$F$2:$F$987, "&lt;"&amp;Rankings!$F171) + COUNTIFS(Rankings!$D$2:$D$987, Rankings!$D171, Rankings!$F$2:$F$987, Rankings!$F171, Rankings!$G$2:$G$987, "&lt;"&amp;Rankings!$G171)+1, "TBD")</f>
        <v>2</v>
      </c>
      <c r="T171" s="225">
        <v>1.0</v>
      </c>
      <c r="U171" s="225" t="b">
        <f>Rankings!$S171=Rankings!$T171</f>
        <v>0</v>
      </c>
      <c r="V171" s="226"/>
      <c r="W171" s="153"/>
    </row>
    <row r="172" ht="15.75" customHeight="1">
      <c r="A172" s="134"/>
      <c r="B172" s="134"/>
      <c r="C172" s="134"/>
      <c r="D172" s="219">
        <f>D170</f>
        <v>45964</v>
      </c>
      <c r="E172" s="227" t="str">
        <f>$M$1</f>
        <v>Giacomo</v>
      </c>
      <c r="F172" s="220">
        <f>IFERROR(AVERAGE(Rankings!$K172:$R172), "TBD")</f>
        <v>3.428571429</v>
      </c>
      <c r="G172" s="220">
        <f>IFERROR(_xlfn.STDEV.P(Rankings!$K172:$R172), "TBD")</f>
        <v>1.293626448</v>
      </c>
      <c r="H172" s="221">
        <f>IFERROR(AVERAGE(Rankings!$K172:$L172, Rankings!$N172:$R172), "TBD")</f>
        <v>3.333333333</v>
      </c>
      <c r="I172" s="222" t="s">
        <v>725</v>
      </c>
      <c r="J172" s="222" t="s">
        <v>726</v>
      </c>
      <c r="K172" s="143">
        <v>2.0</v>
      </c>
      <c r="L172" s="144">
        <v>4.0</v>
      </c>
      <c r="M172" s="144">
        <v>4.0</v>
      </c>
      <c r="N172" s="144">
        <v>2.0</v>
      </c>
      <c r="O172" s="144">
        <v>3.0</v>
      </c>
      <c r="P172" s="144">
        <v>3.0</v>
      </c>
      <c r="Q172" s="122"/>
      <c r="R172" s="223">
        <v>6.0</v>
      </c>
      <c r="S172" s="147">
        <f>IF(SUM(Rankings!$K172:$R172)&gt;0, COUNTIFS(Rankings!$D$2:$D$987, Rankings!$D172, Rankings!$F$2:$F$987, "&lt;"&amp;Rankings!$F172) + COUNTIFS(Rankings!$D$2:$D$987, Rankings!$D172, Rankings!$F$2:$F$987, Rankings!$F172, Rankings!$G$2:$G$987, "&lt;"&amp;Rankings!$G172)+1, "TBD")</f>
        <v>3</v>
      </c>
      <c r="T172" s="225">
        <v>1.0</v>
      </c>
      <c r="U172" s="225" t="b">
        <f>Rankings!$S172=Rankings!$T172</f>
        <v>0</v>
      </c>
      <c r="V172" s="226"/>
      <c r="W172" s="153"/>
    </row>
    <row r="173" ht="15.0" customHeight="1">
      <c r="A173" s="134"/>
      <c r="B173" s="134"/>
      <c r="C173" s="134"/>
      <c r="D173" s="219">
        <f>D170</f>
        <v>45964</v>
      </c>
      <c r="E173" s="227" t="str">
        <f>$N$1</f>
        <v>Rosey</v>
      </c>
      <c r="F173" s="220">
        <f>IFERROR(AVERAGE(Rankings!$K173:$R173), "TBD")</f>
        <v>3.714285714</v>
      </c>
      <c r="G173" s="220">
        <f>IFERROR(_xlfn.STDEV.P(Rankings!$K173:$R173), "TBD")</f>
        <v>1.385051388</v>
      </c>
      <c r="H173" s="221">
        <f>IFERROR(AVERAGE(Rankings!$K173:$M173, Rankings!$O173:$R173), "TBD")</f>
        <v>3.833333333</v>
      </c>
      <c r="I173" s="222" t="s">
        <v>727</v>
      </c>
      <c r="J173" s="222" t="s">
        <v>728</v>
      </c>
      <c r="K173" s="143">
        <v>3.0</v>
      </c>
      <c r="L173" s="144">
        <v>1.0</v>
      </c>
      <c r="M173" s="144">
        <v>5.0</v>
      </c>
      <c r="N173" s="144">
        <v>3.0</v>
      </c>
      <c r="O173" s="144">
        <v>4.0</v>
      </c>
      <c r="P173" s="144">
        <v>5.0</v>
      </c>
      <c r="Q173" s="122"/>
      <c r="R173" s="223">
        <v>5.0</v>
      </c>
      <c r="S173" s="147">
        <f>IF(SUM(Rankings!$K173:$R173)&gt;0, COUNTIFS(Rankings!$D$2:$D$987, Rankings!$D173, Rankings!$F$2:$F$987, "&lt;"&amp;Rankings!$F173) + COUNTIFS(Rankings!$D$2:$D$987, Rankings!$D173, Rankings!$F$2:$F$987, Rankings!$F173, Rankings!$G$2:$G$987, "&lt;"&amp;Rankings!$G173)+1, "TBD")</f>
        <v>4</v>
      </c>
      <c r="T173" s="225">
        <v>1.0</v>
      </c>
      <c r="U173" s="225" t="b">
        <f>Rankings!$S173=Rankings!$T173</f>
        <v>0</v>
      </c>
      <c r="V173" s="226"/>
      <c r="W173" s="153"/>
    </row>
    <row r="174" ht="15.0" customHeight="1">
      <c r="A174" s="134"/>
      <c r="B174" s="134"/>
      <c r="C174" s="134"/>
      <c r="D174" s="219">
        <f t="shared" ref="D174:D176" si="25">D170</f>
        <v>45964</v>
      </c>
      <c r="E174" s="227" t="str">
        <f>$O$1</f>
        <v>TTAC</v>
      </c>
      <c r="F174" s="220">
        <f>IFERROR(AVERAGE(Rankings!$K174:$R174), "TBD")</f>
        <v>5.857142857</v>
      </c>
      <c r="G174" s="220">
        <f>IFERROR(_xlfn.STDEV.P(Rankings!$K174:$R174), "TBD")</f>
        <v>1.726149425</v>
      </c>
      <c r="H174" s="221">
        <f>IFERROR(AVERAGE(Rankings!$K174:$N174, Rankings!$P174:$R174), "TBD")</f>
        <v>6.5</v>
      </c>
      <c r="I174" s="222" t="s">
        <v>729</v>
      </c>
      <c r="J174" s="222" t="s">
        <v>730</v>
      </c>
      <c r="K174" s="143">
        <v>7.0</v>
      </c>
      <c r="L174" s="144">
        <v>5.0</v>
      </c>
      <c r="M174" s="144">
        <v>7.0</v>
      </c>
      <c r="N174" s="144">
        <v>7.0</v>
      </c>
      <c r="O174" s="144">
        <v>2.0</v>
      </c>
      <c r="P174" s="144">
        <v>6.0</v>
      </c>
      <c r="Q174" s="122"/>
      <c r="R174" s="223">
        <v>7.0</v>
      </c>
      <c r="S174" s="147">
        <f>IF(SUM(Rankings!$K174:$R174)&gt;0, COUNTIFS(Rankings!$D$2:$D$987, Rankings!$D174, Rankings!$F$2:$F$987, "&lt;"&amp;Rankings!$F174) + COUNTIFS(Rankings!$D$2:$D$987, Rankings!$D174, Rankings!$F$2:$F$987, Rankings!$F174, Rankings!$G$2:$G$987, "&lt;"&amp;Rankings!$G174)+1, "TBD")</f>
        <v>7</v>
      </c>
      <c r="T174" s="225">
        <v>1.0</v>
      </c>
      <c r="U174" s="225" t="b">
        <f>Rankings!$S174=Rankings!$T174</f>
        <v>0</v>
      </c>
      <c r="V174" s="226"/>
      <c r="W174" s="153"/>
    </row>
    <row r="175" ht="15.0" customHeight="1">
      <c r="A175" s="134"/>
      <c r="B175" s="134"/>
      <c r="C175" s="134"/>
      <c r="D175" s="219">
        <f t="shared" si="25"/>
        <v>45964</v>
      </c>
      <c r="E175" s="227" t="str">
        <f>$P$1</f>
        <v>Weston</v>
      </c>
      <c r="F175" s="220">
        <f>IFERROR(AVERAGE(Rankings!$K175:$R175), "TBD")</f>
        <v>1.857142857</v>
      </c>
      <c r="G175" s="220">
        <f>IFERROR(_xlfn.STDEV.P(Rankings!$K175:$R175), "TBD")</f>
        <v>1.456862718</v>
      </c>
      <c r="H175" s="221">
        <f>IFERROR(AVERAGE(Rankings!$K175:$O175, Rankings!$R175), "TBD")</f>
        <v>2</v>
      </c>
      <c r="I175" s="222" t="s">
        <v>469</v>
      </c>
      <c r="J175" s="222" t="s">
        <v>470</v>
      </c>
      <c r="K175" s="143">
        <v>1.0</v>
      </c>
      <c r="L175" s="144">
        <v>3.0</v>
      </c>
      <c r="M175" s="144">
        <v>1.0</v>
      </c>
      <c r="N175" s="144">
        <v>1.0</v>
      </c>
      <c r="O175" s="144">
        <v>5.0</v>
      </c>
      <c r="P175" s="144">
        <v>1.0</v>
      </c>
      <c r="Q175" s="122"/>
      <c r="R175" s="223">
        <v>1.0</v>
      </c>
      <c r="S175" s="147">
        <f>IF(SUM(Rankings!$K175:$R175)&gt;0, COUNTIFS(Rankings!$D$2:$D$987, Rankings!$D175, Rankings!$F$2:$F$987, "&lt;"&amp;Rankings!$F175) + COUNTIFS(Rankings!$D$2:$D$987, Rankings!$D175, Rankings!$F$2:$F$987, Rankings!$F175, Rankings!$G$2:$G$987, "&lt;"&amp;Rankings!$G175)+1, "TBD")</f>
        <v>1</v>
      </c>
      <c r="T175" s="225">
        <v>1.0</v>
      </c>
      <c r="U175" s="225" t="b">
        <f>Rankings!$S175=Rankings!$T175</f>
        <v>1</v>
      </c>
      <c r="V175" s="226"/>
      <c r="W175" s="153"/>
    </row>
    <row r="176" ht="15.0" customHeight="1">
      <c r="A176" s="189"/>
      <c r="B176" s="189"/>
      <c r="C176" s="189"/>
      <c r="D176" s="235">
        <f t="shared" si="25"/>
        <v>45964</v>
      </c>
      <c r="E176" s="237" t="str">
        <f>$R$1</f>
        <v>Jake</v>
      </c>
      <c r="F176" s="240">
        <f>IFERROR(AVERAGE(Rankings!$K176:$R176), "TBD")</f>
        <v>4.857142857</v>
      </c>
      <c r="G176" s="240">
        <f>IFERROR(_xlfn.STDEV.P(Rankings!$K176:$R176), "TBD")</f>
        <v>1.807015806</v>
      </c>
      <c r="H176" s="242">
        <f>IFERROR(AVERAGE(Rankings!$K176:$P176), "TBD")</f>
        <v>5.333333333</v>
      </c>
      <c r="I176" s="243" t="s">
        <v>731</v>
      </c>
      <c r="J176" s="243" t="s">
        <v>732</v>
      </c>
      <c r="K176" s="199">
        <v>6.0</v>
      </c>
      <c r="L176" s="201">
        <v>6.0</v>
      </c>
      <c r="M176" s="201">
        <v>6.0</v>
      </c>
      <c r="N176" s="201">
        <v>6.0</v>
      </c>
      <c r="O176" s="201">
        <v>6.0</v>
      </c>
      <c r="P176" s="201">
        <v>2.0</v>
      </c>
      <c r="Q176" s="122"/>
      <c r="R176" s="244">
        <v>2.0</v>
      </c>
      <c r="S176" s="203">
        <f>IF(SUM(Rankings!$K176:$R176)&gt;0, COUNTIFS(Rankings!$D$2:$D$987, Rankings!$D176, Rankings!$F$2:$F$987, "&lt;"&amp;Rankings!$F176) + COUNTIFS(Rankings!$D$2:$D$987, Rankings!$D176, Rankings!$F$2:$F$987, Rankings!$F176, Rankings!$G$2:$G$987, "&lt;"&amp;Rankings!$G176)+1, "TBD")</f>
        <v>5</v>
      </c>
      <c r="T176" s="247">
        <v>1.0</v>
      </c>
      <c r="U176" s="247" t="b">
        <f>Rankings!$S176=Rankings!$T176</f>
        <v>0</v>
      </c>
      <c r="V176" s="248"/>
      <c r="W176" s="208"/>
    </row>
    <row r="177" ht="15.0" customHeight="1">
      <c r="A177" s="103">
        <v>45966.0</v>
      </c>
      <c r="B177" s="104"/>
      <c r="C177" s="104" t="str">
        <f t="array" ref="C177">INDEX(Rankings!$E177:$E183, MATCH(1, (Rankings!$D177:$D183=$A177)*(Rankings!$U177:$U183=TRUE()), 0))</f>
        <v>Rosey</v>
      </c>
      <c r="D177" s="111">
        <f>A177</f>
        <v>45966</v>
      </c>
      <c r="E177" s="113" t="str">
        <f>$K$1</f>
        <v>Logan</v>
      </c>
      <c r="F177" s="115">
        <f>IFERROR(AVERAGE(Rankings!$K177:$R177), "TBD")</f>
        <v>4</v>
      </c>
      <c r="G177" s="115">
        <f>IFERROR(_xlfn.STDEV.P(Rankings!$K177:$R177), "TBD")</f>
        <v>2</v>
      </c>
      <c r="H177" s="117">
        <f>IFERROR(AVERAGE(Rankings!$L177:$R177), "TBD")</f>
        <v>4.5</v>
      </c>
      <c r="I177" s="119" t="s">
        <v>733</v>
      </c>
      <c r="J177" s="119" t="s">
        <v>734</v>
      </c>
      <c r="K177" s="120">
        <v>1.0</v>
      </c>
      <c r="L177" s="121">
        <v>2.0</v>
      </c>
      <c r="M177" s="121">
        <v>3.0</v>
      </c>
      <c r="N177" s="121">
        <v>5.0</v>
      </c>
      <c r="O177" s="121">
        <v>6.0</v>
      </c>
      <c r="P177" s="121">
        <v>7.0</v>
      </c>
      <c r="Q177" s="122"/>
      <c r="R177" s="216">
        <v>4.0</v>
      </c>
      <c r="S177" s="126">
        <f>IF(SUM(Rankings!$K177:$R177)&gt;0, COUNTIFS(Rankings!$D$2:$D$987, Rankings!$D177, Rankings!$F$2:$F$987, "&lt;"&amp;Rankings!$F177) + COUNTIFS(Rankings!$D$2:$D$987, Rankings!$D177, Rankings!$F$2:$F$987, Rankings!$F177, Rankings!$G$2:$G$987, "&lt;"&amp;Rankings!$G177)+1, "TBD")</f>
        <v>4</v>
      </c>
      <c r="T177" s="217">
        <v>1.0</v>
      </c>
      <c r="U177" s="217" t="b">
        <f>Rankings!$S177=Rankings!$T177</f>
        <v>0</v>
      </c>
      <c r="V177" s="133"/>
      <c r="W177" s="133"/>
    </row>
    <row r="178" ht="15.0" customHeight="1">
      <c r="A178" s="134"/>
      <c r="B178" s="134"/>
      <c r="C178" s="134"/>
      <c r="D178" s="219">
        <f>D177</f>
        <v>45966</v>
      </c>
      <c r="E178" s="138" t="str">
        <f>$L$1</f>
        <v>Parker</v>
      </c>
      <c r="F178" s="220">
        <f>IFERROR(AVERAGE(Rankings!$K178:$R178), "TBD")</f>
        <v>3.142857143</v>
      </c>
      <c r="G178" s="220">
        <f>IFERROR(_xlfn.STDEV.P(Rankings!$K178:$R178), "TBD")</f>
        <v>1.726149425</v>
      </c>
      <c r="H178" s="221">
        <f>IFERROR(AVERAGE(Rankings!$K178, Rankings!$M178:$R178), "TBD")</f>
        <v>3.5</v>
      </c>
      <c r="I178" s="222" t="s">
        <v>735</v>
      </c>
      <c r="J178" s="222" t="s">
        <v>736</v>
      </c>
      <c r="K178" s="143">
        <v>6.0</v>
      </c>
      <c r="L178" s="144">
        <v>1.0</v>
      </c>
      <c r="M178" s="144">
        <v>4.0</v>
      </c>
      <c r="N178" s="144">
        <v>4.0</v>
      </c>
      <c r="O178" s="144">
        <v>2.0</v>
      </c>
      <c r="P178" s="144">
        <v>4.0</v>
      </c>
      <c r="Q178" s="122"/>
      <c r="R178" s="223">
        <v>1.0</v>
      </c>
      <c r="S178" s="147">
        <f>IF(SUM(Rankings!$K178:$R178)&gt;0, COUNTIFS(Rankings!$D$2:$D$987, Rankings!$D178, Rankings!$F$2:$F$987, "&lt;"&amp;Rankings!$F178) + COUNTIFS(Rankings!$D$2:$D$987, Rankings!$D178, Rankings!$F$2:$F$987, Rankings!$F178, Rankings!$G$2:$G$987, "&lt;"&amp;Rankings!$G178)+1, "TBD")</f>
        <v>2</v>
      </c>
      <c r="T178" s="225">
        <v>1.0</v>
      </c>
      <c r="U178" s="225" t="b">
        <f>Rankings!$S178=Rankings!$T178</f>
        <v>0</v>
      </c>
      <c r="V178" s="226"/>
      <c r="W178" s="153"/>
    </row>
    <row r="179" ht="15.0" customHeight="1">
      <c r="A179" s="134"/>
      <c r="B179" s="134"/>
      <c r="C179" s="134"/>
      <c r="D179" s="219">
        <f>D177</f>
        <v>45966</v>
      </c>
      <c r="E179" s="227" t="str">
        <f>$M$1</f>
        <v>Giacomo</v>
      </c>
      <c r="F179" s="220">
        <f>IFERROR(AVERAGE(Rankings!$K179:$R179), "TBD")</f>
        <v>5.714285714</v>
      </c>
      <c r="G179" s="220">
        <f>IFERROR(_xlfn.STDEV.P(Rankings!$K179:$R179), "TBD")</f>
        <v>2.050385728</v>
      </c>
      <c r="H179" s="221">
        <f>IFERROR(AVERAGE(Rankings!$K179:$L179, Rankings!$N179:$R179), "TBD")</f>
        <v>6.5</v>
      </c>
      <c r="I179" s="222" t="s">
        <v>737</v>
      </c>
      <c r="J179" s="222" t="s">
        <v>738</v>
      </c>
      <c r="K179" s="143">
        <v>7.0</v>
      </c>
      <c r="L179" s="144">
        <v>5.0</v>
      </c>
      <c r="M179" s="144">
        <v>1.0</v>
      </c>
      <c r="N179" s="144">
        <v>7.0</v>
      </c>
      <c r="O179" s="144">
        <v>7.0</v>
      </c>
      <c r="P179" s="144">
        <v>6.0</v>
      </c>
      <c r="Q179" s="122"/>
      <c r="R179" s="223">
        <v>7.0</v>
      </c>
      <c r="S179" s="147">
        <f>IF(SUM(Rankings!$K179:$R179)&gt;0, COUNTIFS(Rankings!$D$2:$D$987, Rankings!$D179, Rankings!$F$2:$F$987, "&lt;"&amp;Rankings!$F179) + COUNTIFS(Rankings!$D$2:$D$987, Rankings!$D179, Rankings!$F$2:$F$987, Rankings!$F179, Rankings!$G$2:$G$987, "&lt;"&amp;Rankings!$G179)+1, "TBD")</f>
        <v>7</v>
      </c>
      <c r="T179" s="225">
        <v>1.0</v>
      </c>
      <c r="U179" s="225" t="b">
        <f>Rankings!$S179=Rankings!$T179</f>
        <v>0</v>
      </c>
      <c r="V179" s="226"/>
      <c r="W179" s="153"/>
    </row>
    <row r="180" ht="15.0" customHeight="1">
      <c r="A180" s="134"/>
      <c r="B180" s="134"/>
      <c r="C180" s="134"/>
      <c r="D180" s="219">
        <f>D177</f>
        <v>45966</v>
      </c>
      <c r="E180" s="227" t="str">
        <f>$N$1</f>
        <v>Rosey</v>
      </c>
      <c r="F180" s="220">
        <f>IFERROR(AVERAGE(Rankings!$K180:$R180), "TBD")</f>
        <v>2.142857143</v>
      </c>
      <c r="G180" s="220">
        <f>IFERROR(_xlfn.STDEV.P(Rankings!$K180:$R180), "TBD")</f>
        <v>0.8329931278</v>
      </c>
      <c r="H180" s="221">
        <f>IFERROR(AVERAGE(Rankings!$K180:$M180, Rankings!$O180:$R180), "TBD")</f>
        <v>2.333333333</v>
      </c>
      <c r="I180" s="222" t="s">
        <v>477</v>
      </c>
      <c r="J180" s="222" t="s">
        <v>478</v>
      </c>
      <c r="K180" s="143">
        <v>3.0</v>
      </c>
      <c r="L180" s="144">
        <v>3.0</v>
      </c>
      <c r="M180" s="144">
        <v>2.0</v>
      </c>
      <c r="N180" s="144">
        <v>1.0</v>
      </c>
      <c r="O180" s="144">
        <v>3.0</v>
      </c>
      <c r="P180" s="144">
        <v>1.0</v>
      </c>
      <c r="Q180" s="122"/>
      <c r="R180" s="223">
        <v>2.0</v>
      </c>
      <c r="S180" s="147">
        <f>IF(SUM(Rankings!$K180:$R180)&gt;0, COUNTIFS(Rankings!$D$2:$D$987, Rankings!$D180, Rankings!$F$2:$F$987, "&lt;"&amp;Rankings!$F180) + COUNTIFS(Rankings!$D$2:$D$987, Rankings!$D180, Rankings!$F$2:$F$987, Rankings!$F180, Rankings!$G$2:$G$987, "&lt;"&amp;Rankings!$G180)+1, "TBD")</f>
        <v>1</v>
      </c>
      <c r="T180" s="225">
        <v>1.0</v>
      </c>
      <c r="U180" s="225" t="b">
        <f>Rankings!$S180=Rankings!$T180</f>
        <v>1</v>
      </c>
      <c r="V180" s="226"/>
      <c r="W180" s="153"/>
    </row>
    <row r="181" ht="15.0" customHeight="1">
      <c r="A181" s="134"/>
      <c r="B181" s="134"/>
      <c r="C181" s="134"/>
      <c r="D181" s="219">
        <f t="shared" ref="D181:D183" si="26">D177</f>
        <v>45966</v>
      </c>
      <c r="E181" s="227" t="str">
        <f>$O$1</f>
        <v>TTAC</v>
      </c>
      <c r="F181" s="220">
        <f>IFERROR(AVERAGE(Rankings!$K181:$R181), "TBD")</f>
        <v>4</v>
      </c>
      <c r="G181" s="220">
        <f>IFERROR(_xlfn.STDEV.P(Rankings!$K181:$R181), "TBD")</f>
        <v>1.690308509</v>
      </c>
      <c r="H181" s="221">
        <f>IFERROR(AVERAGE(Rankings!$K181:$N181, Rankings!$P181:$R181), "TBD")</f>
        <v>4.5</v>
      </c>
      <c r="I181" s="222" t="s">
        <v>739</v>
      </c>
      <c r="J181" s="222" t="s">
        <v>740</v>
      </c>
      <c r="K181" s="143">
        <v>2.0</v>
      </c>
      <c r="L181" s="144">
        <v>4.0</v>
      </c>
      <c r="M181" s="144">
        <v>5.0</v>
      </c>
      <c r="N181" s="144">
        <v>6.0</v>
      </c>
      <c r="O181" s="144">
        <v>1.0</v>
      </c>
      <c r="P181" s="144">
        <v>5.0</v>
      </c>
      <c r="Q181" s="122"/>
      <c r="R181" s="223">
        <v>5.0</v>
      </c>
      <c r="S181" s="147">
        <f>IF(SUM(Rankings!$K181:$R181)&gt;0, COUNTIFS(Rankings!$D$2:$D$987, Rankings!$D181, Rankings!$F$2:$F$987, "&lt;"&amp;Rankings!$F181) + COUNTIFS(Rankings!$D$2:$D$987, Rankings!$D181, Rankings!$F$2:$F$987, Rankings!$F181, Rankings!$G$2:$G$987, "&lt;"&amp;Rankings!$G181)+1, "TBD")</f>
        <v>3</v>
      </c>
      <c r="T181" s="225">
        <v>1.0</v>
      </c>
      <c r="U181" s="225" t="b">
        <f>Rankings!$S181=Rankings!$T181</f>
        <v>0</v>
      </c>
      <c r="V181" s="226"/>
      <c r="W181" s="153"/>
    </row>
    <row r="182" ht="15.0" customHeight="1">
      <c r="A182" s="134"/>
      <c r="B182" s="134"/>
      <c r="C182" s="134"/>
      <c r="D182" s="219">
        <f t="shared" si="26"/>
        <v>45966</v>
      </c>
      <c r="E182" s="227" t="str">
        <f>$P$1</f>
        <v>Weston</v>
      </c>
      <c r="F182" s="220">
        <f>IFERROR(AVERAGE(Rankings!$K182:$R182), "TBD")</f>
        <v>4.857142857</v>
      </c>
      <c r="G182" s="220">
        <f>IFERROR(_xlfn.STDEV.P(Rankings!$K182:$R182), "TBD")</f>
        <v>1.456862718</v>
      </c>
      <c r="H182" s="221">
        <f>IFERROR(AVERAGE(Rankings!$K182:$O182, Rankings!$R182), "TBD")</f>
        <v>5.166666667</v>
      </c>
      <c r="I182" s="222" t="s">
        <v>741</v>
      </c>
      <c r="J182" s="222" t="s">
        <v>742</v>
      </c>
      <c r="K182" s="143">
        <v>4.0</v>
      </c>
      <c r="L182" s="144">
        <v>6.0</v>
      </c>
      <c r="M182" s="144">
        <v>7.0</v>
      </c>
      <c r="N182" s="144">
        <v>3.0</v>
      </c>
      <c r="O182" s="144">
        <v>5.0</v>
      </c>
      <c r="P182" s="144">
        <v>3.0</v>
      </c>
      <c r="Q182" s="122"/>
      <c r="R182" s="223">
        <v>6.0</v>
      </c>
      <c r="S182" s="147">
        <f>IF(SUM(Rankings!$K182:$R182)&gt;0, COUNTIFS(Rankings!$D$2:$D$987, Rankings!$D182, Rankings!$F$2:$F$987, "&lt;"&amp;Rankings!$F182) + COUNTIFS(Rankings!$D$2:$D$987, Rankings!$D182, Rankings!$F$2:$F$987, Rankings!$F182, Rankings!$G$2:$G$987, "&lt;"&amp;Rankings!$G182)+1, "TBD")</f>
        <v>6</v>
      </c>
      <c r="T182" s="225">
        <v>1.0</v>
      </c>
      <c r="U182" s="225" t="b">
        <f>Rankings!$S182=Rankings!$T182</f>
        <v>0</v>
      </c>
      <c r="V182" s="226"/>
      <c r="W182" s="153"/>
    </row>
    <row r="183" ht="15.0" customHeight="1">
      <c r="A183" s="189"/>
      <c r="B183" s="189"/>
      <c r="C183" s="189"/>
      <c r="D183" s="235">
        <f t="shared" si="26"/>
        <v>45966</v>
      </c>
      <c r="E183" s="237" t="str">
        <f>$R$1</f>
        <v>Jake</v>
      </c>
      <c r="F183" s="240">
        <f>IFERROR(AVERAGE(Rankings!$K183:$R183), "TBD")</f>
        <v>4.142857143</v>
      </c>
      <c r="G183" s="240">
        <f>IFERROR(_xlfn.STDEV.P(Rankings!$K183:$R183), "TBD")</f>
        <v>1.807015806</v>
      </c>
      <c r="H183" s="242">
        <f>IFERROR(AVERAGE(Rankings!$K183:$P183), "TBD")</f>
        <v>4.333333333</v>
      </c>
      <c r="I183" s="243" t="s">
        <v>743</v>
      </c>
      <c r="J183" s="243" t="s">
        <v>744</v>
      </c>
      <c r="K183" s="199">
        <v>5.0</v>
      </c>
      <c r="L183" s="201">
        <v>7.0</v>
      </c>
      <c r="M183" s="201">
        <v>6.0</v>
      </c>
      <c r="N183" s="201">
        <v>2.0</v>
      </c>
      <c r="O183" s="201">
        <v>4.0</v>
      </c>
      <c r="P183" s="201">
        <v>2.0</v>
      </c>
      <c r="Q183" s="122"/>
      <c r="R183" s="244">
        <v>3.0</v>
      </c>
      <c r="S183" s="203">
        <f>IF(SUM(Rankings!$K183:$R183)&gt;0, COUNTIFS(Rankings!$D$2:$D$987, Rankings!$D183, Rankings!$F$2:$F$987, "&lt;"&amp;Rankings!$F183) + COUNTIFS(Rankings!$D$2:$D$987, Rankings!$D183, Rankings!$F$2:$F$987, Rankings!$F183, Rankings!$G$2:$G$987, "&lt;"&amp;Rankings!$G183)+1, "TBD")</f>
        <v>5</v>
      </c>
      <c r="T183" s="247">
        <v>1.0</v>
      </c>
      <c r="U183" s="247" t="b">
        <f>Rankings!$S183=Rankings!$T183</f>
        <v>0</v>
      </c>
      <c r="V183" s="248"/>
      <c r="W183" s="208"/>
    </row>
    <row r="184" ht="15.0" customHeight="1">
      <c r="A184" s="103">
        <v>45968.0</v>
      </c>
      <c r="B184" s="104"/>
      <c r="C184" s="104" t="str">
        <f t="array" ref="C184">INDEX(Rankings!$E184:$E190, MATCH(1, (Rankings!$D184:$D190=$A184)*(Rankings!$U184:$U190=TRUE()), 0))</f>
        <v>Rosey</v>
      </c>
      <c r="D184" s="111">
        <f>A184</f>
        <v>45968</v>
      </c>
      <c r="E184" s="113" t="str">
        <f>$K$1</f>
        <v>Logan</v>
      </c>
      <c r="F184" s="115">
        <f>IFERROR(AVERAGE(Rankings!$K184:$R184), "TBD")</f>
        <v>4.285714286</v>
      </c>
      <c r="G184" s="115">
        <f>IFERROR(_xlfn.STDEV.P(Rankings!$K184:$R184), "TBD")</f>
        <v>1.577908717</v>
      </c>
      <c r="H184" s="117">
        <f>IFERROR(AVERAGE(Rankings!$L184:$R184), "TBD")</f>
        <v>4.833333333</v>
      </c>
      <c r="I184" s="119" t="s">
        <v>745</v>
      </c>
      <c r="J184" s="119" t="s">
        <v>746</v>
      </c>
      <c r="K184" s="120">
        <v>1.0</v>
      </c>
      <c r="L184" s="121">
        <v>6.0</v>
      </c>
      <c r="M184" s="121">
        <v>5.0</v>
      </c>
      <c r="N184" s="121">
        <v>4.0</v>
      </c>
      <c r="O184" s="121">
        <v>6.0</v>
      </c>
      <c r="P184" s="121">
        <v>4.0</v>
      </c>
      <c r="Q184" s="122"/>
      <c r="R184" s="216">
        <v>4.0</v>
      </c>
      <c r="S184" s="126">
        <f>IF(SUM(Rankings!$K184:$R184)&gt;0, COUNTIFS(Rankings!$D$2:$D$987, Rankings!$D184, Rankings!$F$2:$F$987, "&lt;"&amp;Rankings!$F184) + COUNTIFS(Rankings!$D$2:$D$987, Rankings!$D184, Rankings!$F$2:$F$987, Rankings!$F184, Rankings!$G$2:$G$987, "&lt;"&amp;Rankings!$G184)+1, "TBD")</f>
        <v>4</v>
      </c>
      <c r="T184" s="217">
        <v>1.0</v>
      </c>
      <c r="U184" s="217" t="b">
        <f>Rankings!$S184=Rankings!$T184</f>
        <v>0</v>
      </c>
      <c r="V184" s="133"/>
      <c r="W184" s="133"/>
    </row>
    <row r="185" ht="15.0" customHeight="1">
      <c r="A185" s="134"/>
      <c r="B185" s="134"/>
      <c r="C185" s="134"/>
      <c r="D185" s="219">
        <f>D184</f>
        <v>45968</v>
      </c>
      <c r="E185" s="138" t="str">
        <f>$L$1</f>
        <v>Parker</v>
      </c>
      <c r="F185" s="220">
        <f>IFERROR(AVERAGE(Rankings!$K185:$R185), "TBD")</f>
        <v>5.428571429</v>
      </c>
      <c r="G185" s="220">
        <f>IFERROR(_xlfn.STDEV.P(Rankings!$K185:$R185), "TBD")</f>
        <v>1.590789818</v>
      </c>
      <c r="H185" s="221">
        <f>IFERROR(AVERAGE(Rankings!$K185, Rankings!$M185:$R185), "TBD")</f>
        <v>5.666666667</v>
      </c>
      <c r="I185" s="222" t="s">
        <v>747</v>
      </c>
      <c r="J185" s="222" t="s">
        <v>748</v>
      </c>
      <c r="K185" s="143">
        <v>7.0</v>
      </c>
      <c r="L185" s="144">
        <v>4.0</v>
      </c>
      <c r="M185" s="144">
        <v>4.0</v>
      </c>
      <c r="N185" s="144">
        <v>3.0</v>
      </c>
      <c r="O185" s="144">
        <v>7.0</v>
      </c>
      <c r="P185" s="144">
        <v>7.0</v>
      </c>
      <c r="Q185" s="122"/>
      <c r="R185" s="223">
        <v>6.0</v>
      </c>
      <c r="S185" s="147">
        <f>IF(SUM(Rankings!$K185:$R185)&gt;0, COUNTIFS(Rankings!$D$2:$D$987, Rankings!$D185, Rankings!$F$2:$F$987, "&lt;"&amp;Rankings!$F185) + COUNTIFS(Rankings!$D$2:$D$987, Rankings!$D185, Rankings!$F$2:$F$987, Rankings!$F185, Rankings!$G$2:$G$987, "&lt;"&amp;Rankings!$G185)+1, "TBD")</f>
        <v>7</v>
      </c>
      <c r="T185" s="225">
        <v>1.0</v>
      </c>
      <c r="U185" s="225" t="b">
        <f>Rankings!$S185=Rankings!$T185</f>
        <v>0</v>
      </c>
      <c r="V185" s="226"/>
      <c r="W185" s="153"/>
    </row>
    <row r="186" ht="15.0" customHeight="1">
      <c r="A186" s="134"/>
      <c r="B186" s="134"/>
      <c r="C186" s="134"/>
      <c r="D186" s="219">
        <f>D184</f>
        <v>45968</v>
      </c>
      <c r="E186" s="227" t="str">
        <f>$M$1</f>
        <v>Giacomo</v>
      </c>
      <c r="F186" s="220">
        <f>IFERROR(AVERAGE(Rankings!$K186:$R186), "TBD")</f>
        <v>2.428571429</v>
      </c>
      <c r="G186" s="220">
        <f>IFERROR(_xlfn.STDEV.P(Rankings!$K186:$R186), "TBD")</f>
        <v>1.293626448</v>
      </c>
      <c r="H186" s="221">
        <f>IFERROR(AVERAGE(Rankings!$K186:$L186, Rankings!$N186:$R186), "TBD")</f>
        <v>2.5</v>
      </c>
      <c r="I186" s="222" t="s">
        <v>749</v>
      </c>
      <c r="J186" s="222" t="s">
        <v>750</v>
      </c>
      <c r="K186" s="143">
        <v>2.0</v>
      </c>
      <c r="L186" s="144">
        <v>1.0</v>
      </c>
      <c r="M186" s="144">
        <v>2.0</v>
      </c>
      <c r="N186" s="144">
        <v>5.0</v>
      </c>
      <c r="O186" s="144">
        <v>1.0</v>
      </c>
      <c r="P186" s="144">
        <v>3.0</v>
      </c>
      <c r="Q186" s="122"/>
      <c r="R186" s="223">
        <v>3.0</v>
      </c>
      <c r="S186" s="147">
        <f>IF(SUM(Rankings!$K186:$R186)&gt;0, COUNTIFS(Rankings!$D$2:$D$987, Rankings!$D186, Rankings!$F$2:$F$987, "&lt;"&amp;Rankings!$F186) + COUNTIFS(Rankings!$D$2:$D$987, Rankings!$D186, Rankings!$F$2:$F$987, Rankings!$F186, Rankings!$G$2:$G$987, "&lt;"&amp;Rankings!$G186)+1, "TBD")</f>
        <v>2</v>
      </c>
      <c r="T186" s="225">
        <v>1.0</v>
      </c>
      <c r="U186" s="225" t="b">
        <f>Rankings!$S186=Rankings!$T186</f>
        <v>0</v>
      </c>
      <c r="V186" s="226"/>
      <c r="W186" s="153"/>
    </row>
    <row r="187" ht="15.0" customHeight="1">
      <c r="A187" s="134"/>
      <c r="B187" s="134"/>
      <c r="C187" s="134"/>
      <c r="D187" s="219">
        <f>D184</f>
        <v>45968</v>
      </c>
      <c r="E187" s="227" t="str">
        <f>$N$1</f>
        <v>Rosey</v>
      </c>
      <c r="F187" s="220">
        <f>IFERROR(AVERAGE(Rankings!$K187:$R187), "TBD")</f>
        <v>2.142857143</v>
      </c>
      <c r="G187" s="220">
        <f>IFERROR(_xlfn.STDEV.P(Rankings!$K187:$R187), "TBD")</f>
        <v>1.456862718</v>
      </c>
      <c r="H187" s="221">
        <f>IFERROR(AVERAGE(Rankings!$K187:$M187, Rankings!$O187:$R187), "TBD")</f>
        <v>2.333333333</v>
      </c>
      <c r="I187" s="222" t="s">
        <v>480</v>
      </c>
      <c r="J187" s="222" t="s">
        <v>481</v>
      </c>
      <c r="K187" s="143">
        <v>5.0</v>
      </c>
      <c r="L187" s="144">
        <v>3.0</v>
      </c>
      <c r="M187" s="144">
        <v>1.0</v>
      </c>
      <c r="N187" s="144">
        <v>1.0</v>
      </c>
      <c r="O187" s="144">
        <v>3.0</v>
      </c>
      <c r="P187" s="144">
        <v>1.0</v>
      </c>
      <c r="Q187" s="122"/>
      <c r="R187" s="223">
        <v>1.0</v>
      </c>
      <c r="S187" s="147">
        <f>IF(SUM(Rankings!$K187:$R187)&gt;0, COUNTIFS(Rankings!$D$2:$D$987, Rankings!$D187, Rankings!$F$2:$F$987, "&lt;"&amp;Rankings!$F187) + COUNTIFS(Rankings!$D$2:$D$987, Rankings!$D187, Rankings!$F$2:$F$987, Rankings!$F187, Rankings!$G$2:$G$987, "&lt;"&amp;Rankings!$G187)+1, "TBD")</f>
        <v>1</v>
      </c>
      <c r="T187" s="225">
        <v>1.0</v>
      </c>
      <c r="U187" s="225" t="b">
        <f>Rankings!$S187=Rankings!$T187</f>
        <v>1</v>
      </c>
      <c r="V187" s="226"/>
      <c r="W187" s="153"/>
    </row>
    <row r="188" ht="15.0" customHeight="1">
      <c r="A188" s="134"/>
      <c r="B188" s="134"/>
      <c r="C188" s="134"/>
      <c r="D188" s="219">
        <f t="shared" ref="D188:D190" si="27">D184</f>
        <v>45968</v>
      </c>
      <c r="E188" s="227" t="str">
        <f>$O$1</f>
        <v>TTAC</v>
      </c>
      <c r="F188" s="220">
        <f>IFERROR(AVERAGE(Rankings!$K188:$R188), "TBD")</f>
        <v>4.857142857</v>
      </c>
      <c r="G188" s="220">
        <f>IFERROR(_xlfn.STDEV.P(Rankings!$K188:$R188), "TBD")</f>
        <v>2.099562637</v>
      </c>
      <c r="H188" s="221">
        <f>IFERROR(AVERAGE(Rankings!$K188:$N188, Rankings!$P188:$R188), "TBD")</f>
        <v>5.333333333</v>
      </c>
      <c r="I188" s="222" t="s">
        <v>751</v>
      </c>
      <c r="J188" s="222" t="s">
        <v>752</v>
      </c>
      <c r="K188" s="143">
        <v>4.0</v>
      </c>
      <c r="L188" s="144">
        <v>2.0</v>
      </c>
      <c r="M188" s="144">
        <v>7.0</v>
      </c>
      <c r="N188" s="144">
        <v>7.0</v>
      </c>
      <c r="O188" s="144">
        <v>2.0</v>
      </c>
      <c r="P188" s="144">
        <v>5.0</v>
      </c>
      <c r="Q188" s="122"/>
      <c r="R188" s="223">
        <v>7.0</v>
      </c>
      <c r="S188" s="147">
        <f>IF(SUM(Rankings!$K188:$R188)&gt;0, COUNTIFS(Rankings!$D$2:$D$987, Rankings!$D188, Rankings!$F$2:$F$987, "&lt;"&amp;Rankings!$F188) + COUNTIFS(Rankings!$D$2:$D$987, Rankings!$D188, Rankings!$F$2:$F$987, Rankings!$F188, Rankings!$G$2:$G$987, "&lt;"&amp;Rankings!$G188)+1, "TBD")</f>
        <v>5</v>
      </c>
      <c r="T188" s="225">
        <v>1.0</v>
      </c>
      <c r="U188" s="225" t="b">
        <f>Rankings!$S188=Rankings!$T188</f>
        <v>0</v>
      </c>
      <c r="V188" s="226"/>
      <c r="W188" s="153"/>
    </row>
    <row r="189" ht="15.0" customHeight="1">
      <c r="A189" s="134"/>
      <c r="B189" s="134"/>
      <c r="C189" s="134"/>
      <c r="D189" s="219">
        <f t="shared" si="27"/>
        <v>45968</v>
      </c>
      <c r="E189" s="227" t="str">
        <f>$P$1</f>
        <v>Weston</v>
      </c>
      <c r="F189" s="220">
        <f>IFERROR(AVERAGE(Rankings!$K189:$R189), "TBD")</f>
        <v>3.571428571</v>
      </c>
      <c r="G189" s="220">
        <f>IFERROR(_xlfn.STDEV.P(Rankings!$K189:$R189), "TBD")</f>
        <v>1.399708424</v>
      </c>
      <c r="H189" s="221">
        <f>IFERROR(AVERAGE(Rankings!$K189:$O189, Rankings!$R189), "TBD")</f>
        <v>3.833333333</v>
      </c>
      <c r="I189" s="222" t="s">
        <v>753</v>
      </c>
      <c r="J189" s="222" t="s">
        <v>754</v>
      </c>
      <c r="K189" s="143">
        <v>3.0</v>
      </c>
      <c r="L189" s="144">
        <v>5.0</v>
      </c>
      <c r="M189" s="144">
        <v>3.0</v>
      </c>
      <c r="N189" s="144">
        <v>6.0</v>
      </c>
      <c r="O189" s="144">
        <v>4.0</v>
      </c>
      <c r="P189" s="144">
        <v>2.0</v>
      </c>
      <c r="Q189" s="122"/>
      <c r="R189" s="223">
        <v>2.0</v>
      </c>
      <c r="S189" s="147">
        <f>IF(SUM(Rankings!$K189:$R189)&gt;0, COUNTIFS(Rankings!$D$2:$D$987, Rankings!$D189, Rankings!$F$2:$F$987, "&lt;"&amp;Rankings!$F189) + COUNTIFS(Rankings!$D$2:$D$987, Rankings!$D189, Rankings!$F$2:$F$987, Rankings!$F189, Rankings!$G$2:$G$987, "&lt;"&amp;Rankings!$G189)+1, "TBD")</f>
        <v>3</v>
      </c>
      <c r="T189" s="225">
        <v>1.0</v>
      </c>
      <c r="U189" s="225" t="b">
        <f>Rankings!$S189=Rankings!$T189</f>
        <v>0</v>
      </c>
      <c r="V189" s="226"/>
      <c r="W189" s="153"/>
    </row>
    <row r="190" ht="15.0" customHeight="1">
      <c r="A190" s="189"/>
      <c r="B190" s="189"/>
      <c r="C190" s="189"/>
      <c r="D190" s="235">
        <f t="shared" si="27"/>
        <v>45968</v>
      </c>
      <c r="E190" s="237" t="str">
        <f>$R$1</f>
        <v>Jake</v>
      </c>
      <c r="F190" s="240">
        <f>IFERROR(AVERAGE(Rankings!$K190:$R190), "TBD")</f>
        <v>5.285714286</v>
      </c>
      <c r="G190" s="240">
        <f>IFERROR(_xlfn.STDEV.P(Rankings!$K190:$R190), "TBD")</f>
        <v>1.484614978</v>
      </c>
      <c r="H190" s="242">
        <f>IFERROR(AVERAGE(Rankings!$K190:$P190), "TBD")</f>
        <v>5.333333333</v>
      </c>
      <c r="I190" s="243" t="s">
        <v>755</v>
      </c>
      <c r="J190" s="243" t="s">
        <v>422</v>
      </c>
      <c r="K190" s="199">
        <v>6.0</v>
      </c>
      <c r="L190" s="201">
        <v>7.0</v>
      </c>
      <c r="M190" s="201">
        <v>6.0</v>
      </c>
      <c r="N190" s="201">
        <v>2.0</v>
      </c>
      <c r="O190" s="201">
        <v>5.0</v>
      </c>
      <c r="P190" s="201">
        <v>6.0</v>
      </c>
      <c r="Q190" s="122"/>
      <c r="R190" s="244">
        <v>5.0</v>
      </c>
      <c r="S190" s="203">
        <f>IF(SUM(Rankings!$K190:$R190)&gt;0, COUNTIFS(Rankings!$D$2:$D$987, Rankings!$D190, Rankings!$F$2:$F$987, "&lt;"&amp;Rankings!$F190) + COUNTIFS(Rankings!$D$2:$D$987, Rankings!$D190, Rankings!$F$2:$F$987, Rankings!$F190, Rankings!$G$2:$G$987, "&lt;"&amp;Rankings!$G190)+1, "TBD")</f>
        <v>6</v>
      </c>
      <c r="T190" s="247">
        <v>1.0</v>
      </c>
      <c r="U190" s="247" t="b">
        <f>Rankings!$S190=Rankings!$T190</f>
        <v>0</v>
      </c>
      <c r="V190" s="248"/>
      <c r="W190" s="208"/>
    </row>
    <row r="191" ht="15.0" customHeight="1">
      <c r="A191" s="103">
        <v>45971.0</v>
      </c>
      <c r="B191" s="104"/>
      <c r="C191" s="104" t="str">
        <f t="array" ref="C191">INDEX(Rankings!$E191:$E197, MATCH(1, (Rankings!$D191:$D197=$A191)*(Rankings!$U191:$U197=TRUE()), 0))</f>
        <v>Weston</v>
      </c>
      <c r="D191" s="111">
        <f>A191</f>
        <v>45971</v>
      </c>
      <c r="E191" s="113" t="str">
        <f>$K$1</f>
        <v>Logan</v>
      </c>
      <c r="F191" s="115">
        <f>IFERROR(AVERAGE(Rankings!$K191:$R191), "TBD")</f>
        <v>4.857142857</v>
      </c>
      <c r="G191" s="115">
        <f>IFERROR(_xlfn.STDEV.P(Rankings!$K191:$R191), "TBD")</f>
        <v>1.456862718</v>
      </c>
      <c r="H191" s="117">
        <f>IFERROR(AVERAGE(Rankings!$L191:$R191), "TBD")</f>
        <v>5</v>
      </c>
      <c r="I191" s="119" t="s">
        <v>756</v>
      </c>
      <c r="J191" s="119" t="s">
        <v>757</v>
      </c>
      <c r="K191" s="120">
        <v>4.0</v>
      </c>
      <c r="L191" s="121">
        <v>5.0</v>
      </c>
      <c r="M191" s="121">
        <v>4.0</v>
      </c>
      <c r="N191" s="121">
        <v>3.0</v>
      </c>
      <c r="O191" s="121">
        <v>7.0</v>
      </c>
      <c r="P191" s="121">
        <v>4.0</v>
      </c>
      <c r="Q191" s="122"/>
      <c r="R191" s="216">
        <v>7.0</v>
      </c>
      <c r="S191" s="126">
        <f>IF(SUM(Rankings!$K191:$R191)&gt;0, COUNTIFS(Rankings!$D$2:$D$987, Rankings!$D191, Rankings!$F$2:$F$987, "&lt;"&amp;Rankings!$F191) + COUNTIFS(Rankings!$D$2:$D$987, Rankings!$D191, Rankings!$F$2:$F$987, Rankings!$F191, Rankings!$G$2:$G$987, "&lt;"&amp;Rankings!$G191)+1, "TBD")</f>
        <v>5</v>
      </c>
      <c r="T191" s="217">
        <v>1.0</v>
      </c>
      <c r="U191" s="217" t="b">
        <f>Rankings!$S191=Rankings!$T191</f>
        <v>0</v>
      </c>
      <c r="V191" s="133"/>
      <c r="W191" s="133"/>
    </row>
    <row r="192" ht="15.0" customHeight="1">
      <c r="A192" s="134"/>
      <c r="B192" s="134"/>
      <c r="C192" s="134"/>
      <c r="D192" s="219">
        <f>D191</f>
        <v>45971</v>
      </c>
      <c r="E192" s="138" t="str">
        <f>$L$1</f>
        <v>Parker</v>
      </c>
      <c r="F192" s="220">
        <f>IFERROR(AVERAGE(Rankings!$K192:$R192), "TBD")</f>
        <v>2.428571429</v>
      </c>
      <c r="G192" s="220">
        <f>IFERROR(_xlfn.STDEV.P(Rankings!$K192:$R192), "TBD")</f>
        <v>1.498298355</v>
      </c>
      <c r="H192" s="221">
        <f>IFERROR(AVERAGE(Rankings!$K192, Rankings!$M192:$R192), "TBD")</f>
        <v>2.666666667</v>
      </c>
      <c r="I192" s="222" t="s">
        <v>758</v>
      </c>
      <c r="J192" s="222" t="s">
        <v>759</v>
      </c>
      <c r="K192" s="143">
        <v>2.0</v>
      </c>
      <c r="L192" s="144">
        <v>1.0</v>
      </c>
      <c r="M192" s="144">
        <v>2.0</v>
      </c>
      <c r="N192" s="144">
        <v>6.0</v>
      </c>
      <c r="O192" s="144">
        <v>2.0</v>
      </c>
      <c r="P192" s="144">
        <v>2.0</v>
      </c>
      <c r="Q192" s="122"/>
      <c r="R192" s="223">
        <v>2.0</v>
      </c>
      <c r="S192" s="147">
        <f>IF(SUM(Rankings!$K192:$R192)&gt;0, COUNTIFS(Rankings!$D$2:$D$987, Rankings!$D192, Rankings!$F$2:$F$987, "&lt;"&amp;Rankings!$F192) + COUNTIFS(Rankings!$D$2:$D$987, Rankings!$D192, Rankings!$F$2:$F$987, Rankings!$F192, Rankings!$G$2:$G$987, "&lt;"&amp;Rankings!$G192)+1, "TBD")</f>
        <v>2</v>
      </c>
      <c r="T192" s="225">
        <v>1.0</v>
      </c>
      <c r="U192" s="225" t="b">
        <f>Rankings!$S192=Rankings!$T192</f>
        <v>0</v>
      </c>
      <c r="V192" s="226"/>
      <c r="W192" s="153"/>
    </row>
    <row r="193" ht="15.0" customHeight="1">
      <c r="A193" s="134"/>
      <c r="B193" s="134"/>
      <c r="C193" s="134"/>
      <c r="D193" s="219">
        <f>D191</f>
        <v>45971</v>
      </c>
      <c r="E193" s="227" t="str">
        <f>$M$1</f>
        <v>Giacomo</v>
      </c>
      <c r="F193" s="220">
        <f>IFERROR(AVERAGE(Rankings!$K193:$R193), "TBD")</f>
        <v>3.571428571</v>
      </c>
      <c r="G193" s="220">
        <f>IFERROR(_xlfn.STDEV.P(Rankings!$K193:$R193), "TBD")</f>
        <v>1.498298355</v>
      </c>
      <c r="H193" s="221">
        <f>IFERROR(AVERAGE(Rankings!$K193:$L193, Rankings!$N193:$R193), "TBD")</f>
        <v>3.666666667</v>
      </c>
      <c r="I193" s="222" t="s">
        <v>760</v>
      </c>
      <c r="J193" s="222" t="s">
        <v>761</v>
      </c>
      <c r="K193" s="143">
        <v>6.0</v>
      </c>
      <c r="L193" s="144">
        <v>3.0</v>
      </c>
      <c r="M193" s="144">
        <v>3.0</v>
      </c>
      <c r="N193" s="144">
        <v>5.0</v>
      </c>
      <c r="O193" s="144">
        <v>1.0</v>
      </c>
      <c r="P193" s="144">
        <v>3.0</v>
      </c>
      <c r="Q193" s="122"/>
      <c r="R193" s="223">
        <v>4.0</v>
      </c>
      <c r="S193" s="147">
        <f>IF(SUM(Rankings!$K193:$R193)&gt;0, COUNTIFS(Rankings!$D$2:$D$987, Rankings!$D193, Rankings!$F$2:$F$987, "&lt;"&amp;Rankings!$F193) + COUNTIFS(Rankings!$D$2:$D$987, Rankings!$D193, Rankings!$F$2:$F$987, Rankings!$F193, Rankings!$G$2:$G$987, "&lt;"&amp;Rankings!$G193)+1, "TBD")</f>
        <v>3</v>
      </c>
      <c r="T193" s="225">
        <v>1.0</v>
      </c>
      <c r="U193" s="225" t="b">
        <f>Rankings!$S193=Rankings!$T193</f>
        <v>0</v>
      </c>
      <c r="V193" s="226"/>
      <c r="W193" s="153"/>
    </row>
    <row r="194" ht="15.0" customHeight="1">
      <c r="A194" s="134"/>
      <c r="B194" s="134"/>
      <c r="C194" s="134"/>
      <c r="D194" s="219">
        <f>D191</f>
        <v>45971</v>
      </c>
      <c r="E194" s="227" t="str">
        <f>$N$1</f>
        <v>Rosey</v>
      </c>
      <c r="F194" s="220">
        <f>IFERROR(AVERAGE(Rankings!$K194:$R194), "TBD")</f>
        <v>5.142857143</v>
      </c>
      <c r="G194" s="220">
        <f>IFERROR(_xlfn.STDEV.P(Rankings!$K194:$R194), "TBD")</f>
        <v>1.245399698</v>
      </c>
      <c r="H194" s="221">
        <f>IFERROR(AVERAGE(Rankings!$K194:$M194, Rankings!$O194:$R194), "TBD")</f>
        <v>5.333333333</v>
      </c>
      <c r="I194" s="222" t="s">
        <v>762</v>
      </c>
      <c r="J194" s="222" t="s">
        <v>763</v>
      </c>
      <c r="K194" s="143">
        <v>7.0</v>
      </c>
      <c r="L194" s="144">
        <v>6.0</v>
      </c>
      <c r="M194" s="144">
        <v>6.0</v>
      </c>
      <c r="N194" s="144">
        <v>4.0</v>
      </c>
      <c r="O194" s="144">
        <v>3.0</v>
      </c>
      <c r="P194" s="144">
        <v>5.0</v>
      </c>
      <c r="Q194" s="122"/>
      <c r="R194" s="223">
        <v>5.0</v>
      </c>
      <c r="S194" s="147">
        <f>IF(SUM(Rankings!$K194:$R194)&gt;0, COUNTIFS(Rankings!$D$2:$D$987, Rankings!$D194, Rankings!$F$2:$F$987, "&lt;"&amp;Rankings!$F194) + COUNTIFS(Rankings!$D$2:$D$987, Rankings!$D194, Rankings!$F$2:$F$987, Rankings!$F194, Rankings!$G$2:$G$987, "&lt;"&amp;Rankings!$G194)+1, "TBD")</f>
        <v>6</v>
      </c>
      <c r="T194" s="225">
        <v>1.0</v>
      </c>
      <c r="U194" s="225" t="b">
        <f>Rankings!$S194=Rankings!$T194</f>
        <v>0</v>
      </c>
      <c r="V194" s="226"/>
      <c r="W194" s="153"/>
    </row>
    <row r="195" ht="15.0" customHeight="1">
      <c r="A195" s="134"/>
      <c r="B195" s="134"/>
      <c r="C195" s="134"/>
      <c r="D195" s="219">
        <f t="shared" ref="D195:D197" si="28">D191</f>
        <v>45971</v>
      </c>
      <c r="E195" s="227" t="str">
        <f>$O$1</f>
        <v>TTAC</v>
      </c>
      <c r="F195" s="220">
        <f>IFERROR(AVERAGE(Rankings!$K195:$R195), "TBD")</f>
        <v>5.571428571</v>
      </c>
      <c r="G195" s="220">
        <f>IFERROR(_xlfn.STDEV.P(Rankings!$K195:$R195), "TBD")</f>
        <v>1.498298355</v>
      </c>
      <c r="H195" s="221">
        <f>IFERROR(AVERAGE(Rankings!$K195:$N195, Rankings!$P195:$R195), "TBD")</f>
        <v>5.666666667</v>
      </c>
      <c r="I195" s="222" t="s">
        <v>764</v>
      </c>
      <c r="J195" s="222" t="s">
        <v>765</v>
      </c>
      <c r="K195" s="143">
        <v>3.0</v>
      </c>
      <c r="L195" s="144">
        <v>4.0</v>
      </c>
      <c r="M195" s="144">
        <v>7.0</v>
      </c>
      <c r="N195" s="144">
        <v>7.0</v>
      </c>
      <c r="O195" s="144">
        <v>5.0</v>
      </c>
      <c r="P195" s="144">
        <v>7.0</v>
      </c>
      <c r="Q195" s="122"/>
      <c r="R195" s="223">
        <v>6.0</v>
      </c>
      <c r="S195" s="147">
        <f>IF(SUM(Rankings!$K195:$R195)&gt;0, COUNTIFS(Rankings!$D$2:$D$987, Rankings!$D195, Rankings!$F$2:$F$987, "&lt;"&amp;Rankings!$F195) + COUNTIFS(Rankings!$D$2:$D$987, Rankings!$D195, Rankings!$F$2:$F$987, Rankings!$F195, Rankings!$G$2:$G$987, "&lt;"&amp;Rankings!$G195)+1, "TBD")</f>
        <v>7</v>
      </c>
      <c r="T195" s="225">
        <v>1.0</v>
      </c>
      <c r="U195" s="225" t="b">
        <f>Rankings!$S195=Rankings!$T195</f>
        <v>0</v>
      </c>
      <c r="V195" s="226"/>
      <c r="W195" s="153"/>
    </row>
    <row r="196" ht="15.0" customHeight="1">
      <c r="A196" s="134"/>
      <c r="B196" s="134"/>
      <c r="C196" s="134"/>
      <c r="D196" s="219">
        <f t="shared" si="28"/>
        <v>45971</v>
      </c>
      <c r="E196" s="227" t="str">
        <f>$P$1</f>
        <v>Weston</v>
      </c>
      <c r="F196" s="220">
        <f>IFERROR(AVERAGE(Rankings!$K196:$R196), "TBD")</f>
        <v>2.285714286</v>
      </c>
      <c r="G196" s="220">
        <f>IFERROR(_xlfn.STDEV.P(Rankings!$K196:$R196), "TBD")</f>
        <v>1.665986256</v>
      </c>
      <c r="H196" s="221">
        <f>IFERROR(AVERAGE(Rankings!$K196:$O196, Rankings!$R196), "TBD")</f>
        <v>2.5</v>
      </c>
      <c r="I196" s="222" t="s">
        <v>483</v>
      </c>
      <c r="J196" s="222" t="s">
        <v>484</v>
      </c>
      <c r="K196" s="143">
        <v>1.0</v>
      </c>
      <c r="L196" s="144">
        <v>2.0</v>
      </c>
      <c r="M196" s="144">
        <v>1.0</v>
      </c>
      <c r="N196" s="144">
        <v>2.0</v>
      </c>
      <c r="O196" s="144">
        <v>6.0</v>
      </c>
      <c r="P196" s="144">
        <v>1.0</v>
      </c>
      <c r="Q196" s="122"/>
      <c r="R196" s="223">
        <v>3.0</v>
      </c>
      <c r="S196" s="147">
        <f>IF(SUM(Rankings!$K196:$R196)&gt;0, COUNTIFS(Rankings!$D$2:$D$987, Rankings!$D196, Rankings!$F$2:$F$987, "&lt;"&amp;Rankings!$F196) + COUNTIFS(Rankings!$D$2:$D$987, Rankings!$D196, Rankings!$F$2:$F$987, Rankings!$F196, Rankings!$G$2:$G$987, "&lt;"&amp;Rankings!$G196)+1, "TBD")</f>
        <v>1</v>
      </c>
      <c r="T196" s="225">
        <v>1.0</v>
      </c>
      <c r="U196" s="225" t="b">
        <f>Rankings!$S196=Rankings!$T196</f>
        <v>1</v>
      </c>
      <c r="V196" s="226"/>
      <c r="W196" s="153"/>
    </row>
    <row r="197" ht="15.0" customHeight="1">
      <c r="A197" s="189"/>
      <c r="B197" s="189"/>
      <c r="C197" s="189"/>
      <c r="D197" s="235">
        <f t="shared" si="28"/>
        <v>45971</v>
      </c>
      <c r="E197" s="237" t="str">
        <f>$R$1</f>
        <v>Jake</v>
      </c>
      <c r="F197" s="240">
        <f>IFERROR(AVERAGE(Rankings!$K197:$R197), "TBD")</f>
        <v>4.142857143</v>
      </c>
      <c r="G197" s="240">
        <f>IFERROR(_xlfn.STDEV.P(Rankings!$K197:$R197), "TBD")</f>
        <v>2.166535841</v>
      </c>
      <c r="H197" s="242">
        <f>IFERROR(AVERAGE(Rankings!$K197:$P197), "TBD")</f>
        <v>4.666666667</v>
      </c>
      <c r="I197" s="243" t="s">
        <v>766</v>
      </c>
      <c r="J197" s="243" t="s">
        <v>720</v>
      </c>
      <c r="K197" s="199">
        <v>5.0</v>
      </c>
      <c r="L197" s="201">
        <v>7.0</v>
      </c>
      <c r="M197" s="201">
        <v>5.0</v>
      </c>
      <c r="N197" s="201">
        <v>1.0</v>
      </c>
      <c r="O197" s="201">
        <v>4.0</v>
      </c>
      <c r="P197" s="201">
        <v>6.0</v>
      </c>
      <c r="Q197" s="122"/>
      <c r="R197" s="244">
        <v>1.0</v>
      </c>
      <c r="S197" s="203">
        <f>IF(SUM(Rankings!$K197:$R197)&gt;0, COUNTIFS(Rankings!$D$2:$D$987, Rankings!$D197, Rankings!$F$2:$F$987, "&lt;"&amp;Rankings!$F197) + COUNTIFS(Rankings!$D$2:$D$987, Rankings!$D197, Rankings!$F$2:$F$987, Rankings!$F197, Rankings!$G$2:$G$987, "&lt;"&amp;Rankings!$G197)+1, "TBD")</f>
        <v>4</v>
      </c>
      <c r="T197" s="247">
        <v>1.0</v>
      </c>
      <c r="U197" s="247" t="b">
        <f>Rankings!$S197=Rankings!$T197</f>
        <v>0</v>
      </c>
      <c r="V197" s="248"/>
      <c r="W197" s="208"/>
    </row>
    <row r="198" ht="15.0" customHeight="1">
      <c r="A198" s="103">
        <v>45973.0</v>
      </c>
      <c r="B198" s="104"/>
      <c r="C198" s="104" t="str">
        <f t="array" ref="C198">INDEX(Rankings!$E198:$E204, MATCH(1, (Rankings!$D198:$D204=$A198)*(Rankings!$U198:$U204=TRUE()), 0))</f>
        <v>Giacomo</v>
      </c>
      <c r="D198" s="111">
        <f>A198</f>
        <v>45973</v>
      </c>
      <c r="E198" s="113" t="str">
        <f>$K$1</f>
        <v>Logan</v>
      </c>
      <c r="F198" s="115">
        <f>IFERROR(AVERAGE(Rankings!$K198:$R198), "TBD")</f>
        <v>4.857142857</v>
      </c>
      <c r="G198" s="115">
        <f>IFERROR(_xlfn.STDEV.P(Rankings!$K198:$R198), "TBD")</f>
        <v>0.9897433186</v>
      </c>
      <c r="H198" s="117">
        <f>IFERROR(AVERAGE(Rankings!$L198:$R198), "TBD")</f>
        <v>4.833333333</v>
      </c>
      <c r="I198" s="119" t="s">
        <v>767</v>
      </c>
      <c r="J198" s="119" t="s">
        <v>768</v>
      </c>
      <c r="K198" s="120">
        <v>5.0</v>
      </c>
      <c r="L198" s="121">
        <v>3.0</v>
      </c>
      <c r="M198" s="121">
        <v>4.0</v>
      </c>
      <c r="N198" s="121">
        <v>6.0</v>
      </c>
      <c r="O198" s="121">
        <v>5.0</v>
      </c>
      <c r="P198" s="121">
        <v>6.0</v>
      </c>
      <c r="Q198" s="122"/>
      <c r="R198" s="216">
        <v>5.0</v>
      </c>
      <c r="S198" s="126">
        <f>IF(SUM(Rankings!$K198:$R198)&gt;0, COUNTIFS(Rankings!$D$2:$D$987, Rankings!$D198, Rankings!$F$2:$F$987, "&lt;"&amp;Rankings!$F198) + COUNTIFS(Rankings!$D$2:$D$987, Rankings!$D198, Rankings!$F$2:$F$987, Rankings!$F198, Rankings!$G$2:$G$987, "&lt;"&amp;Rankings!$G198)+1, "TBD")</f>
        <v>6</v>
      </c>
      <c r="T198" s="217">
        <v>1.0</v>
      </c>
      <c r="U198" s="217" t="b">
        <f>Rankings!$S198=Rankings!$T198</f>
        <v>0</v>
      </c>
      <c r="V198" s="133"/>
      <c r="W198" s="133"/>
    </row>
    <row r="199" ht="15.0" customHeight="1">
      <c r="A199" s="134"/>
      <c r="B199" s="134"/>
      <c r="C199" s="134"/>
      <c r="D199" s="219">
        <f>D198</f>
        <v>45973</v>
      </c>
      <c r="E199" s="138" t="str">
        <f>$L$1</f>
        <v>Parker</v>
      </c>
      <c r="F199" s="220">
        <f>IFERROR(AVERAGE(Rankings!$K199:$R199), "TBD")</f>
        <v>5.714285714</v>
      </c>
      <c r="G199" s="220">
        <f>IFERROR(_xlfn.STDEV.P(Rankings!$K199:$R199), "TBD")</f>
        <v>1.160576915</v>
      </c>
      <c r="H199" s="221">
        <f>IFERROR(AVERAGE(Rankings!$K199, Rankings!$M199:$R199), "TBD")</f>
        <v>6</v>
      </c>
      <c r="I199" s="222" t="s">
        <v>769</v>
      </c>
      <c r="J199" s="222" t="s">
        <v>770</v>
      </c>
      <c r="K199" s="143">
        <v>7.0</v>
      </c>
      <c r="L199" s="144">
        <v>4.0</v>
      </c>
      <c r="M199" s="144">
        <v>5.0</v>
      </c>
      <c r="N199" s="144">
        <v>5.0</v>
      </c>
      <c r="O199" s="144">
        <v>7.0</v>
      </c>
      <c r="P199" s="144">
        <v>5.0</v>
      </c>
      <c r="Q199" s="122"/>
      <c r="R199" s="223">
        <v>7.0</v>
      </c>
      <c r="S199" s="147">
        <f>IF(SUM(Rankings!$K199:$R199)&gt;0, COUNTIFS(Rankings!$D$2:$D$987, Rankings!$D199, Rankings!$F$2:$F$987, "&lt;"&amp;Rankings!$F199) + COUNTIFS(Rankings!$D$2:$D$987, Rankings!$D199, Rankings!$F$2:$F$987, Rankings!$F199, Rankings!$G$2:$G$987, "&lt;"&amp;Rankings!$G199)+1, "TBD")</f>
        <v>7</v>
      </c>
      <c r="T199" s="225">
        <v>1.0</v>
      </c>
      <c r="U199" s="225" t="b">
        <f>Rankings!$S199=Rankings!$T199</f>
        <v>0</v>
      </c>
      <c r="V199" s="226"/>
      <c r="W199" s="153"/>
    </row>
    <row r="200" ht="15.0" customHeight="1">
      <c r="A200" s="134"/>
      <c r="B200" s="134"/>
      <c r="C200" s="134"/>
      <c r="D200" s="219">
        <f>D198</f>
        <v>45973</v>
      </c>
      <c r="E200" s="227" t="str">
        <f>$M$1</f>
        <v>Giacomo</v>
      </c>
      <c r="F200" s="220">
        <f>IFERROR(AVERAGE(Rankings!$K200:$R200), "TBD")</f>
        <v>1.714285714</v>
      </c>
      <c r="G200" s="220">
        <f>IFERROR(_xlfn.STDEV.P(Rankings!$K200:$R200), "TBD")</f>
        <v>1.030157507</v>
      </c>
      <c r="H200" s="221">
        <f>IFERROR(AVERAGE(Rankings!$K200:$L200, Rankings!$N200:$R200), "TBD")</f>
        <v>1.833333333</v>
      </c>
      <c r="I200" s="222" t="s">
        <v>487</v>
      </c>
      <c r="J200" s="222" t="s">
        <v>488</v>
      </c>
      <c r="K200" s="143">
        <v>4.0</v>
      </c>
      <c r="L200" s="144">
        <v>1.0</v>
      </c>
      <c r="M200" s="144">
        <v>1.0</v>
      </c>
      <c r="N200" s="144">
        <v>1.0</v>
      </c>
      <c r="O200" s="144">
        <v>2.0</v>
      </c>
      <c r="P200" s="144">
        <v>1.0</v>
      </c>
      <c r="Q200" s="122"/>
      <c r="R200" s="223">
        <v>2.0</v>
      </c>
      <c r="S200" s="147">
        <f>IF(SUM(Rankings!$K200:$R200)&gt;0, COUNTIFS(Rankings!$D$2:$D$987, Rankings!$D200, Rankings!$F$2:$F$987, "&lt;"&amp;Rankings!$F200) + COUNTIFS(Rankings!$D$2:$D$987, Rankings!$D200, Rankings!$F$2:$F$987, Rankings!$F200, Rankings!$G$2:$G$987, "&lt;"&amp;Rankings!$G200)+1, "TBD")</f>
        <v>1</v>
      </c>
      <c r="T200" s="225">
        <v>1.0</v>
      </c>
      <c r="U200" s="225" t="b">
        <f>Rankings!$S200=Rankings!$T200</f>
        <v>1</v>
      </c>
      <c r="V200" s="226"/>
      <c r="W200" s="153"/>
    </row>
    <row r="201" ht="15.0" customHeight="1">
      <c r="A201" s="134"/>
      <c r="B201" s="134"/>
      <c r="C201" s="134"/>
      <c r="D201" s="219">
        <f>D198</f>
        <v>45973</v>
      </c>
      <c r="E201" s="227" t="str">
        <f>$N$1</f>
        <v>Rosey</v>
      </c>
      <c r="F201" s="220">
        <f>IFERROR(AVERAGE(Rankings!$K201:$R201), "TBD")</f>
        <v>4.571428571</v>
      </c>
      <c r="G201" s="220">
        <f>IFERROR(_xlfn.STDEV.P(Rankings!$K201:$R201), "TBD")</f>
        <v>1.989769754</v>
      </c>
      <c r="H201" s="221">
        <f>IFERROR(AVERAGE(Rankings!$K201:$M201, Rankings!$O201:$R201), "TBD")</f>
        <v>5</v>
      </c>
      <c r="I201" s="222" t="s">
        <v>771</v>
      </c>
      <c r="J201" s="222" t="s">
        <v>772</v>
      </c>
      <c r="K201" s="143">
        <v>2.0</v>
      </c>
      <c r="L201" s="144">
        <v>6.0</v>
      </c>
      <c r="M201" s="144">
        <v>7.0</v>
      </c>
      <c r="N201" s="144">
        <v>2.0</v>
      </c>
      <c r="O201" s="144">
        <v>4.0</v>
      </c>
      <c r="P201" s="144">
        <v>7.0</v>
      </c>
      <c r="Q201" s="122"/>
      <c r="R201" s="223">
        <v>4.0</v>
      </c>
      <c r="S201" s="147">
        <f>IF(SUM(Rankings!$K201:$R201)&gt;0, COUNTIFS(Rankings!$D$2:$D$987, Rankings!$D201, Rankings!$F$2:$F$987, "&lt;"&amp;Rankings!$F201) + COUNTIFS(Rankings!$D$2:$D$987, Rankings!$D201, Rankings!$F$2:$F$987, Rankings!$F201, Rankings!$G$2:$G$987, "&lt;"&amp;Rankings!$G201)+1, "TBD")</f>
        <v>5</v>
      </c>
      <c r="T201" s="225">
        <v>1.0</v>
      </c>
      <c r="U201" s="225" t="b">
        <f>Rankings!$S201=Rankings!$T201</f>
        <v>0</v>
      </c>
      <c r="V201" s="226"/>
      <c r="W201" s="153"/>
    </row>
    <row r="202" ht="15.0" customHeight="1">
      <c r="A202" s="134"/>
      <c r="B202" s="134"/>
      <c r="C202" s="134"/>
      <c r="D202" s="219">
        <f t="shared" ref="D202:D204" si="29">D198</f>
        <v>45973</v>
      </c>
      <c r="E202" s="227" t="str">
        <f>$O$1</f>
        <v>TTAC</v>
      </c>
      <c r="F202" s="220">
        <f>IFERROR(AVERAGE(Rankings!$K202:$R202), "TBD")</f>
        <v>3.857142857</v>
      </c>
      <c r="G202" s="220">
        <f>IFERROR(_xlfn.STDEV.P(Rankings!$K202:$R202), "TBD")</f>
        <v>2.531435021</v>
      </c>
      <c r="H202" s="221">
        <f>IFERROR(AVERAGE(Rankings!$K202:$N202, Rankings!$P202:$R202), "TBD")</f>
        <v>4.333333333</v>
      </c>
      <c r="I202" s="222" t="s">
        <v>773</v>
      </c>
      <c r="J202" s="222" t="s">
        <v>774</v>
      </c>
      <c r="K202" s="143">
        <v>1.0</v>
      </c>
      <c r="L202" s="144">
        <v>7.0</v>
      </c>
      <c r="M202" s="144">
        <v>3.0</v>
      </c>
      <c r="N202" s="144">
        <v>7.0</v>
      </c>
      <c r="O202" s="144">
        <v>1.0</v>
      </c>
      <c r="P202" s="144">
        <v>2.0</v>
      </c>
      <c r="Q202" s="122"/>
      <c r="R202" s="223">
        <v>6.0</v>
      </c>
      <c r="S202" s="147">
        <f>IF(SUM(Rankings!$K202:$R202)&gt;0, COUNTIFS(Rankings!$D$2:$D$987, Rankings!$D202, Rankings!$F$2:$F$987, "&lt;"&amp;Rankings!$F202) + COUNTIFS(Rankings!$D$2:$D$987, Rankings!$D202, Rankings!$F$2:$F$987, Rankings!$F202, Rankings!$G$2:$G$987, "&lt;"&amp;Rankings!$G202)+1, "TBD")</f>
        <v>3</v>
      </c>
      <c r="T202" s="225">
        <v>1.0</v>
      </c>
      <c r="U202" s="225" t="b">
        <f>Rankings!$S202=Rankings!$T202</f>
        <v>0</v>
      </c>
      <c r="V202" s="226"/>
      <c r="W202" s="153"/>
    </row>
    <row r="203" ht="15.0" customHeight="1">
      <c r="A203" s="134"/>
      <c r="B203" s="134"/>
      <c r="C203" s="134"/>
      <c r="D203" s="219">
        <f t="shared" si="29"/>
        <v>45973</v>
      </c>
      <c r="E203" s="227" t="str">
        <f>$P$1</f>
        <v>Weston</v>
      </c>
      <c r="F203" s="220">
        <f>IFERROR(AVERAGE(Rankings!$K203:$R203), "TBD")</f>
        <v>4.428571429</v>
      </c>
      <c r="G203" s="220">
        <f>IFERROR(_xlfn.STDEV.P(Rankings!$K203:$R203), "TBD")</f>
        <v>1.761261144</v>
      </c>
      <c r="H203" s="221">
        <f>IFERROR(AVERAGE(Rankings!$K203:$O203, Rankings!$R203), "TBD")</f>
        <v>4.666666667</v>
      </c>
      <c r="I203" s="222" t="s">
        <v>775</v>
      </c>
      <c r="J203" s="222" t="s">
        <v>776</v>
      </c>
      <c r="K203" s="143">
        <v>6.0</v>
      </c>
      <c r="L203" s="144">
        <v>5.0</v>
      </c>
      <c r="M203" s="144">
        <v>6.0</v>
      </c>
      <c r="N203" s="144">
        <v>4.0</v>
      </c>
      <c r="O203" s="144">
        <v>6.0</v>
      </c>
      <c r="P203" s="144">
        <v>3.0</v>
      </c>
      <c r="Q203" s="122"/>
      <c r="R203" s="223">
        <v>1.0</v>
      </c>
      <c r="S203" s="147">
        <f>IF(SUM(Rankings!$K203:$R203)&gt;0, COUNTIFS(Rankings!$D$2:$D$987, Rankings!$D203, Rankings!$F$2:$F$987, "&lt;"&amp;Rankings!$F203) + COUNTIFS(Rankings!$D$2:$D$987, Rankings!$D203, Rankings!$F$2:$F$987, Rankings!$F203, Rankings!$G$2:$G$987, "&lt;"&amp;Rankings!$G203)+1, "TBD")</f>
        <v>4</v>
      </c>
      <c r="T203" s="225">
        <v>1.0</v>
      </c>
      <c r="U203" s="225" t="b">
        <f>Rankings!$S203=Rankings!$T203</f>
        <v>0</v>
      </c>
      <c r="V203" s="226"/>
      <c r="W203" s="153"/>
    </row>
    <row r="204" ht="15.0" customHeight="1">
      <c r="A204" s="189"/>
      <c r="B204" s="189"/>
      <c r="C204" s="189"/>
      <c r="D204" s="235">
        <f t="shared" si="29"/>
        <v>45973</v>
      </c>
      <c r="E204" s="237" t="str">
        <f>$R$1</f>
        <v>Jake</v>
      </c>
      <c r="F204" s="240">
        <f>IFERROR(AVERAGE(Rankings!$K204:$R204), "TBD")</f>
        <v>2.857142857</v>
      </c>
      <c r="G204" s="240">
        <f>IFERROR(_xlfn.STDEV.P(Rankings!$K204:$R204), "TBD")</f>
        <v>0.638876565</v>
      </c>
      <c r="H204" s="242">
        <f>IFERROR(AVERAGE(Rankings!$K204:$P204), "TBD")</f>
        <v>2.833333333</v>
      </c>
      <c r="I204" s="243" t="s">
        <v>777</v>
      </c>
      <c r="J204" s="243" t="s">
        <v>778</v>
      </c>
      <c r="K204" s="199">
        <v>3.0</v>
      </c>
      <c r="L204" s="201">
        <v>2.0</v>
      </c>
      <c r="M204" s="201">
        <v>2.0</v>
      </c>
      <c r="N204" s="201">
        <v>3.0</v>
      </c>
      <c r="O204" s="201">
        <v>3.0</v>
      </c>
      <c r="P204" s="201">
        <v>4.0</v>
      </c>
      <c r="Q204" s="122"/>
      <c r="R204" s="244">
        <v>3.0</v>
      </c>
      <c r="S204" s="203">
        <f>IF(SUM(Rankings!$K204:$R204)&gt;0, COUNTIFS(Rankings!$D$2:$D$987, Rankings!$D204, Rankings!$F$2:$F$987, "&lt;"&amp;Rankings!$F204) + COUNTIFS(Rankings!$D$2:$D$987, Rankings!$D204, Rankings!$F$2:$F$987, Rankings!$F204, Rankings!$G$2:$G$987, "&lt;"&amp;Rankings!$G204)+1, "TBD")</f>
        <v>2</v>
      </c>
      <c r="T204" s="247">
        <v>1.0</v>
      </c>
      <c r="U204" s="247" t="b">
        <f>Rankings!$S204=Rankings!$T204</f>
        <v>0</v>
      </c>
      <c r="V204" s="248"/>
      <c r="W204" s="208"/>
    </row>
    <row r="205" ht="15.0" customHeight="1">
      <c r="A205" s="103">
        <v>45975.0</v>
      </c>
      <c r="B205" s="104"/>
      <c r="C205" s="104" t="str">
        <f t="array" ref="C205">INDEX(Rankings!$E205:$E211, MATCH(1, (Rankings!$D205:$D211=$A205)*(Rankings!$U205:$U211=TRUE()), 0))</f>
        <v>Logan</v>
      </c>
      <c r="D205" s="111">
        <f>A205</f>
        <v>45975</v>
      </c>
      <c r="E205" s="113" t="str">
        <f>$K$1</f>
        <v>Logan</v>
      </c>
      <c r="F205" s="115">
        <f>IFERROR(AVERAGE(Rankings!$K205:$R205), "TBD")</f>
        <v>2.571428571</v>
      </c>
      <c r="G205" s="115">
        <f>IFERROR(_xlfn.STDEV.P(Rankings!$K205:$R205), "TBD")</f>
        <v>1.399708424</v>
      </c>
      <c r="H205" s="117">
        <f>IFERROR(AVERAGE(Rankings!$L205:$R205), "TBD")</f>
        <v>2.833333333</v>
      </c>
      <c r="I205" s="119" t="s">
        <v>106</v>
      </c>
      <c r="J205" s="119" t="s">
        <v>490</v>
      </c>
      <c r="K205" s="120">
        <v>1.0</v>
      </c>
      <c r="L205" s="121">
        <v>4.0</v>
      </c>
      <c r="M205" s="121">
        <v>5.0</v>
      </c>
      <c r="N205" s="121">
        <v>2.0</v>
      </c>
      <c r="O205" s="121">
        <v>1.0</v>
      </c>
      <c r="P205" s="121">
        <v>3.0</v>
      </c>
      <c r="Q205" s="122"/>
      <c r="R205" s="216">
        <v>2.0</v>
      </c>
      <c r="S205" s="126">
        <f>IF(SUM(Rankings!$K205:$R205)&gt;0, COUNTIFS(Rankings!$D$2:$D$987, Rankings!$D205, Rankings!$F$2:$F$987, "&lt;"&amp;Rankings!$F205) + COUNTIFS(Rankings!$D$2:$D$987, Rankings!$D205, Rankings!$F$2:$F$987, Rankings!$F205, Rankings!$G$2:$G$987, "&lt;"&amp;Rankings!$G205)+1, "TBD")</f>
        <v>1</v>
      </c>
      <c r="T205" s="217">
        <v>1.0</v>
      </c>
      <c r="U205" s="217" t="b">
        <f>Rankings!$S205=Rankings!$T205</f>
        <v>1</v>
      </c>
      <c r="V205" s="329"/>
      <c r="W205" s="329" t="s">
        <v>779</v>
      </c>
    </row>
    <row r="206" ht="15.0" customHeight="1">
      <c r="A206" s="134"/>
      <c r="B206" s="134"/>
      <c r="C206" s="134"/>
      <c r="D206" s="219">
        <f>D205</f>
        <v>45975</v>
      </c>
      <c r="E206" s="138" t="str">
        <f>$L$1</f>
        <v>Parker</v>
      </c>
      <c r="F206" s="220">
        <f>IFERROR(AVERAGE(Rankings!$K206:$R206), "TBD")</f>
        <v>3.285714286</v>
      </c>
      <c r="G206" s="220">
        <f>IFERROR(_xlfn.STDEV.P(Rankings!$K206:$R206), "TBD")</f>
        <v>1.749635531</v>
      </c>
      <c r="H206" s="221">
        <f>IFERROR(AVERAGE(Rankings!$K206, Rankings!$M206:$R206), "TBD")</f>
        <v>3.333333333</v>
      </c>
      <c r="I206" s="222" t="s">
        <v>780</v>
      </c>
      <c r="J206" s="222" t="s">
        <v>781</v>
      </c>
      <c r="K206" s="143">
        <v>5.0</v>
      </c>
      <c r="L206" s="144">
        <v>3.0</v>
      </c>
      <c r="M206" s="144">
        <v>1.0</v>
      </c>
      <c r="N206" s="144">
        <v>3.0</v>
      </c>
      <c r="O206" s="144">
        <v>6.0</v>
      </c>
      <c r="P206" s="144">
        <v>1.0</v>
      </c>
      <c r="Q206" s="122"/>
      <c r="R206" s="223">
        <v>4.0</v>
      </c>
      <c r="S206" s="147">
        <f>IF(SUM(Rankings!$K206:$R206)&gt;0, COUNTIFS(Rankings!$D$2:$D$987, Rankings!$D206, Rankings!$F$2:$F$987, "&lt;"&amp;Rankings!$F206) + COUNTIFS(Rankings!$D$2:$D$987, Rankings!$D206, Rankings!$F$2:$F$987, Rankings!$F206, Rankings!$G$2:$G$987, "&lt;"&amp;Rankings!$G206)+1, "TBD")</f>
        <v>3</v>
      </c>
      <c r="T206" s="225">
        <v>1.0</v>
      </c>
      <c r="U206" s="225" t="b">
        <f>Rankings!$S206=Rankings!$T206</f>
        <v>0</v>
      </c>
      <c r="V206" s="330"/>
      <c r="W206" s="153"/>
    </row>
    <row r="207" ht="15.0" customHeight="1">
      <c r="A207" s="134"/>
      <c r="B207" s="134"/>
      <c r="C207" s="134"/>
      <c r="D207" s="219">
        <f>D205</f>
        <v>45975</v>
      </c>
      <c r="E207" s="227" t="str">
        <f>$M$1</f>
        <v>Giacomo</v>
      </c>
      <c r="F207" s="220">
        <f>IFERROR(AVERAGE(Rankings!$K207:$R207), "TBD")</f>
        <v>4.285714286</v>
      </c>
      <c r="G207" s="220">
        <f>IFERROR(_xlfn.STDEV.P(Rankings!$K207:$R207), "TBD")</f>
        <v>1.665986256</v>
      </c>
      <c r="H207" s="221">
        <f>IFERROR(AVERAGE(Rankings!$K207:$L207, Rankings!$N207:$R207), "TBD")</f>
        <v>4.666666667</v>
      </c>
      <c r="I207" s="222" t="s">
        <v>782</v>
      </c>
      <c r="J207" s="222" t="s">
        <v>712</v>
      </c>
      <c r="K207" s="143">
        <v>7.0</v>
      </c>
      <c r="L207" s="144">
        <v>2.0</v>
      </c>
      <c r="M207" s="144">
        <v>2.0</v>
      </c>
      <c r="N207" s="144">
        <v>5.0</v>
      </c>
      <c r="O207" s="144">
        <v>5.0</v>
      </c>
      <c r="P207" s="144">
        <v>4.0</v>
      </c>
      <c r="Q207" s="122"/>
      <c r="R207" s="223">
        <v>5.0</v>
      </c>
      <c r="S207" s="147">
        <f>IF(SUM(Rankings!$K207:$R207)&gt;0, COUNTIFS(Rankings!$D$2:$D$987, Rankings!$D207, Rankings!$F$2:$F$987, "&lt;"&amp;Rankings!$F207) + COUNTIFS(Rankings!$D$2:$D$987, Rankings!$D207, Rankings!$F$2:$F$987, Rankings!$F207, Rankings!$G$2:$G$987, "&lt;"&amp;Rankings!$G207)+1, "TBD")</f>
        <v>4</v>
      </c>
      <c r="T207" s="225">
        <v>1.0</v>
      </c>
      <c r="U207" s="225" t="b">
        <f>Rankings!$S207=Rankings!$T207</f>
        <v>0</v>
      </c>
      <c r="V207" s="330"/>
      <c r="W207" s="153"/>
    </row>
    <row r="208" ht="15.0" customHeight="1">
      <c r="A208" s="134"/>
      <c r="B208" s="134"/>
      <c r="C208" s="134"/>
      <c r="D208" s="219">
        <f>D205</f>
        <v>45975</v>
      </c>
      <c r="E208" s="227" t="str">
        <f>$N$1</f>
        <v>Rosey</v>
      </c>
      <c r="F208" s="220">
        <f>IFERROR(AVERAGE(Rankings!$K208:$R208), "TBD")</f>
        <v>4.285714286</v>
      </c>
      <c r="G208" s="220">
        <f>IFERROR(_xlfn.STDEV.P(Rankings!$K208:$R208), "TBD")</f>
        <v>1.979486637</v>
      </c>
      <c r="H208" s="221">
        <f>IFERROR(AVERAGE(Rankings!$K208:$M208, Rankings!$O208:$R208), "TBD")</f>
        <v>4.833333333</v>
      </c>
      <c r="I208" s="222" t="s">
        <v>783</v>
      </c>
      <c r="J208" s="222" t="s">
        <v>784</v>
      </c>
      <c r="K208" s="143">
        <v>4.0</v>
      </c>
      <c r="L208" s="144">
        <v>6.0</v>
      </c>
      <c r="M208" s="144">
        <v>6.0</v>
      </c>
      <c r="N208" s="144">
        <v>1.0</v>
      </c>
      <c r="O208" s="144">
        <v>3.0</v>
      </c>
      <c r="P208" s="144">
        <v>7.0</v>
      </c>
      <c r="Q208" s="122"/>
      <c r="R208" s="223">
        <v>3.0</v>
      </c>
      <c r="S208" s="147">
        <f>IF(SUM(Rankings!$K208:$R208)&gt;0, COUNTIFS(Rankings!$D$2:$D$987, Rankings!$D208, Rankings!$F$2:$F$987, "&lt;"&amp;Rankings!$F208) + COUNTIFS(Rankings!$D$2:$D$987, Rankings!$D208, Rankings!$F$2:$F$987, Rankings!$F208, Rankings!$G$2:$G$987, "&lt;"&amp;Rankings!$G208)+1, "TBD")</f>
        <v>5</v>
      </c>
      <c r="T208" s="225">
        <v>1.0</v>
      </c>
      <c r="U208" s="225" t="b">
        <f>Rankings!$S208=Rankings!$T208</f>
        <v>0</v>
      </c>
      <c r="V208" s="330"/>
      <c r="W208" s="153"/>
    </row>
    <row r="209" ht="15.0" customHeight="1">
      <c r="A209" s="134"/>
      <c r="B209" s="134"/>
      <c r="C209" s="134"/>
      <c r="D209" s="219">
        <f t="shared" ref="D209:D211" si="30">D205</f>
        <v>45975</v>
      </c>
      <c r="E209" s="227" t="str">
        <f>$O$1</f>
        <v>TTAC</v>
      </c>
      <c r="F209" s="220">
        <f>IFERROR(AVERAGE(Rankings!$K209:$R209), "TBD")</f>
        <v>4.571428571</v>
      </c>
      <c r="G209" s="220">
        <f>IFERROR(_xlfn.STDEV.P(Rankings!$K209:$R209), "TBD")</f>
        <v>1.590789818</v>
      </c>
      <c r="H209" s="221">
        <f>IFERROR(AVERAGE(Rankings!$K209:$N209, Rankings!$P209:$R209), "TBD")</f>
        <v>5</v>
      </c>
      <c r="I209" s="222" t="s">
        <v>785</v>
      </c>
      <c r="J209" s="222" t="s">
        <v>786</v>
      </c>
      <c r="K209" s="143">
        <v>3.0</v>
      </c>
      <c r="L209" s="144">
        <v>5.0</v>
      </c>
      <c r="M209" s="144">
        <v>4.0</v>
      </c>
      <c r="N209" s="144">
        <v>7.0</v>
      </c>
      <c r="O209" s="144">
        <v>2.0</v>
      </c>
      <c r="P209" s="144">
        <v>5.0</v>
      </c>
      <c r="Q209" s="122"/>
      <c r="R209" s="223">
        <v>6.0</v>
      </c>
      <c r="S209" s="147">
        <f>IF(SUM(Rankings!$K209:$R209)&gt;0, COUNTIFS(Rankings!$D$2:$D$987, Rankings!$D209, Rankings!$F$2:$F$987, "&lt;"&amp;Rankings!$F209) + COUNTIFS(Rankings!$D$2:$D$987, Rankings!$D209, Rankings!$F$2:$F$987, Rankings!$F209, Rankings!$G$2:$G$987, "&lt;"&amp;Rankings!$G209)+1, "TBD")</f>
        <v>6</v>
      </c>
      <c r="T209" s="225">
        <v>1.0</v>
      </c>
      <c r="U209" s="225" t="b">
        <f>Rankings!$S209=Rankings!$T209</f>
        <v>0</v>
      </c>
      <c r="V209" s="330"/>
      <c r="W209" s="153"/>
    </row>
    <row r="210" ht="15.0" customHeight="1">
      <c r="A210" s="134"/>
      <c r="B210" s="134"/>
      <c r="C210" s="134"/>
      <c r="D210" s="219">
        <f t="shared" si="30"/>
        <v>45975</v>
      </c>
      <c r="E210" s="227" t="str">
        <f>$P$1</f>
        <v>Weston</v>
      </c>
      <c r="F210" s="220">
        <f>IFERROR(AVERAGE(Rankings!$K210:$R210), "TBD")</f>
        <v>6</v>
      </c>
      <c r="G210" s="220">
        <f>IFERROR(_xlfn.STDEV.P(Rankings!$K210:$R210), "TBD")</f>
        <v>1.309307341</v>
      </c>
      <c r="H210" s="221">
        <f>IFERROR(AVERAGE(Rankings!$K210:$O210, Rankings!$R210), "TBD")</f>
        <v>6</v>
      </c>
      <c r="I210" s="222" t="s">
        <v>787</v>
      </c>
      <c r="J210" s="222" t="s">
        <v>788</v>
      </c>
      <c r="K210" s="143">
        <v>6.0</v>
      </c>
      <c r="L210" s="144">
        <v>7.0</v>
      </c>
      <c r="M210" s="144">
        <v>3.0</v>
      </c>
      <c r="N210" s="144">
        <v>6.0</v>
      </c>
      <c r="O210" s="144">
        <v>7.0</v>
      </c>
      <c r="P210" s="144">
        <v>6.0</v>
      </c>
      <c r="Q210" s="122"/>
      <c r="R210" s="223">
        <v>7.0</v>
      </c>
      <c r="S210" s="147">
        <f>IF(SUM(Rankings!$K210:$R210)&gt;0, COUNTIFS(Rankings!$D$2:$D$987, Rankings!$D210, Rankings!$F$2:$F$987, "&lt;"&amp;Rankings!$F210) + COUNTIFS(Rankings!$D$2:$D$987, Rankings!$D210, Rankings!$F$2:$F$987, Rankings!$F210, Rankings!$G$2:$G$987, "&lt;"&amp;Rankings!$G210)+1, "TBD")</f>
        <v>7</v>
      </c>
      <c r="T210" s="225">
        <v>1.0</v>
      </c>
      <c r="U210" s="225" t="b">
        <f>Rankings!$S210=Rankings!$T210</f>
        <v>0</v>
      </c>
      <c r="V210" s="330"/>
      <c r="W210" s="153"/>
    </row>
    <row r="211" ht="15.0" customHeight="1">
      <c r="A211" s="189"/>
      <c r="B211" s="189"/>
      <c r="C211" s="189"/>
      <c r="D211" s="235">
        <f t="shared" si="30"/>
        <v>45975</v>
      </c>
      <c r="E211" s="237" t="str">
        <f>$R$1</f>
        <v>Jake</v>
      </c>
      <c r="F211" s="240">
        <f>IFERROR(AVERAGE(Rankings!$K211:$R211), "TBD")</f>
        <v>3</v>
      </c>
      <c r="G211" s="240">
        <f>IFERROR(_xlfn.STDEV.P(Rankings!$K211:$R211), "TBD")</f>
        <v>2</v>
      </c>
      <c r="H211" s="242">
        <f>IFERROR(AVERAGE(Rankings!$K211:$P211), "TBD")</f>
        <v>3.333333333</v>
      </c>
      <c r="I211" s="243" t="s">
        <v>789</v>
      </c>
      <c r="J211" s="243" t="s">
        <v>790</v>
      </c>
      <c r="K211" s="199">
        <v>2.0</v>
      </c>
      <c r="L211" s="201">
        <v>1.0</v>
      </c>
      <c r="M211" s="201">
        <v>7.0</v>
      </c>
      <c r="N211" s="201">
        <v>4.0</v>
      </c>
      <c r="O211" s="201">
        <v>4.0</v>
      </c>
      <c r="P211" s="201">
        <v>2.0</v>
      </c>
      <c r="Q211" s="122"/>
      <c r="R211" s="244">
        <v>1.0</v>
      </c>
      <c r="S211" s="203">
        <f>IF(SUM(Rankings!$K211:$R211)&gt;0, COUNTIFS(Rankings!$D$2:$D$987, Rankings!$D211, Rankings!$F$2:$F$987, "&lt;"&amp;Rankings!$F211) + COUNTIFS(Rankings!$D$2:$D$987, Rankings!$D211, Rankings!$F$2:$F$987, Rankings!$F211, Rankings!$G$2:$G$987, "&lt;"&amp;Rankings!$G211)+1, "TBD")</f>
        <v>2</v>
      </c>
      <c r="T211" s="247">
        <v>1.0</v>
      </c>
      <c r="U211" s="247" t="b">
        <f>Rankings!$S211=Rankings!$T211</f>
        <v>0</v>
      </c>
      <c r="V211" s="344"/>
      <c r="W211" s="208"/>
    </row>
    <row r="212" ht="15.0" customHeight="1">
      <c r="A212" s="103">
        <v>45978.0</v>
      </c>
      <c r="B212" s="104"/>
      <c r="C212" s="104" t="str">
        <f t="array" ref="C212">INDEX(Rankings!$E212:$E218, MATCH(1, (Rankings!$D212:$D218=$A212)*(Rankings!$U212:$U218=TRUE()), 0))</f>
        <v>Logan</v>
      </c>
      <c r="D212" s="111">
        <f>A212</f>
        <v>45978</v>
      </c>
      <c r="E212" s="113" t="str">
        <f>$K$1</f>
        <v>Logan</v>
      </c>
      <c r="F212" s="115">
        <f>IFERROR(AVERAGE(Rankings!$K212:$R212), "TBD")</f>
        <v>2.857142857</v>
      </c>
      <c r="G212" s="115">
        <f>IFERROR(_xlfn.STDEV.P(Rankings!$K212:$R212), "TBD")</f>
        <v>0.8329931278</v>
      </c>
      <c r="H212" s="117">
        <f>IFERROR(AVERAGE(Rankings!$L212:$R212), "TBD")</f>
        <v>3.166666667</v>
      </c>
      <c r="I212" s="119" t="s">
        <v>492</v>
      </c>
      <c r="J212" s="119" t="s">
        <v>493</v>
      </c>
      <c r="K212" s="120">
        <v>1.0</v>
      </c>
      <c r="L212" s="121">
        <v>3.0</v>
      </c>
      <c r="M212" s="121">
        <v>4.0</v>
      </c>
      <c r="N212" s="121">
        <v>3.0</v>
      </c>
      <c r="O212" s="121">
        <v>3.0</v>
      </c>
      <c r="P212" s="121">
        <v>3.0</v>
      </c>
      <c r="Q212" s="122"/>
      <c r="R212" s="216">
        <v>3.0</v>
      </c>
      <c r="S212" s="126">
        <f>IF(SUM(Rankings!$K212:$R212)&gt;0, COUNTIFS(Rankings!$D$2:$D$987, Rankings!$D212, Rankings!$F$2:$F$987, "&lt;"&amp;Rankings!$F212) + COUNTIFS(Rankings!$D$2:$D$987, Rankings!$D212, Rankings!$F$2:$F$987, Rankings!$F212, Rankings!$G$2:$G$987, "&lt;"&amp;Rankings!$G212)+1, "TBD")</f>
        <v>1</v>
      </c>
      <c r="T212" s="217">
        <v>1.0</v>
      </c>
      <c r="U212" s="217" t="b">
        <f>Rankings!$S212=Rankings!$T212</f>
        <v>1</v>
      </c>
      <c r="V212" s="133"/>
      <c r="W212" s="133"/>
    </row>
    <row r="213" ht="15.0" customHeight="1">
      <c r="A213" s="134"/>
      <c r="B213" s="134"/>
      <c r="C213" s="134"/>
      <c r="D213" s="219">
        <f>D212</f>
        <v>45978</v>
      </c>
      <c r="E213" s="138" t="str">
        <f>$L$1</f>
        <v>Parker</v>
      </c>
      <c r="F213" s="220">
        <f>IFERROR(AVERAGE(Rankings!$K213:$R213), "TBD")</f>
        <v>4.428571429</v>
      </c>
      <c r="G213" s="220">
        <f>IFERROR(_xlfn.STDEV.P(Rankings!$K213:$R213), "TBD")</f>
        <v>1.399708424</v>
      </c>
      <c r="H213" s="221">
        <f>IFERROR(AVERAGE(Rankings!$K213, Rankings!$M213:$R213), "TBD")</f>
        <v>4.833333333</v>
      </c>
      <c r="I213" s="222" t="s">
        <v>791</v>
      </c>
      <c r="J213" s="222" t="s">
        <v>792</v>
      </c>
      <c r="K213" s="143">
        <v>5.0</v>
      </c>
      <c r="L213" s="144">
        <v>2.0</v>
      </c>
      <c r="M213" s="144">
        <v>3.0</v>
      </c>
      <c r="N213" s="144">
        <v>4.0</v>
      </c>
      <c r="O213" s="144">
        <v>5.0</v>
      </c>
      <c r="P213" s="144">
        <v>6.0</v>
      </c>
      <c r="Q213" s="122"/>
      <c r="R213" s="223">
        <v>6.0</v>
      </c>
      <c r="S213" s="147">
        <f>IF(SUM(Rankings!$K213:$R213)&gt;0, COUNTIFS(Rankings!$D$2:$D$987, Rankings!$D213, Rankings!$F$2:$F$987, "&lt;"&amp;Rankings!$F213) + COUNTIFS(Rankings!$D$2:$D$987, Rankings!$D213, Rankings!$F$2:$F$987, Rankings!$F213, Rankings!$G$2:$G$987, "&lt;"&amp;Rankings!$G213)+1, "TBD")</f>
        <v>6</v>
      </c>
      <c r="T213" s="225">
        <v>1.0</v>
      </c>
      <c r="U213" s="225" t="b">
        <f>Rankings!$S213=Rankings!$T213</f>
        <v>0</v>
      </c>
      <c r="V213" s="226"/>
      <c r="W213" s="153"/>
    </row>
    <row r="214" ht="15.0" customHeight="1">
      <c r="A214" s="134"/>
      <c r="B214" s="134"/>
      <c r="C214" s="134"/>
      <c r="D214" s="219">
        <f>D212</f>
        <v>45978</v>
      </c>
      <c r="E214" s="227" t="str">
        <f>$M$1</f>
        <v>Giacomo</v>
      </c>
      <c r="F214" s="220">
        <f>IFERROR(AVERAGE(Rankings!$K214:$R214), "TBD")</f>
        <v>4.285714286</v>
      </c>
      <c r="G214" s="220">
        <f>IFERROR(_xlfn.STDEV.P(Rankings!$K214:$R214), "TBD")</f>
        <v>1.905952009</v>
      </c>
      <c r="H214" s="221">
        <f>IFERROR(AVERAGE(Rankings!$K214:$L214, Rankings!$N214:$R214), "TBD")</f>
        <v>4.666666667</v>
      </c>
      <c r="I214" s="222" t="s">
        <v>793</v>
      </c>
      <c r="J214" s="222" t="s">
        <v>794</v>
      </c>
      <c r="K214" s="143">
        <v>3.0</v>
      </c>
      <c r="L214" s="144">
        <v>6.0</v>
      </c>
      <c r="M214" s="144">
        <v>2.0</v>
      </c>
      <c r="N214" s="144">
        <v>6.0</v>
      </c>
      <c r="O214" s="144">
        <v>7.0</v>
      </c>
      <c r="P214" s="144">
        <v>4.0</v>
      </c>
      <c r="Q214" s="122"/>
      <c r="R214" s="223">
        <v>2.0</v>
      </c>
      <c r="S214" s="147">
        <f>IF(SUM(Rankings!$K214:$R214)&gt;0, COUNTIFS(Rankings!$D$2:$D$987, Rankings!$D214, Rankings!$F$2:$F$987, "&lt;"&amp;Rankings!$F214) + COUNTIFS(Rankings!$D$2:$D$987, Rankings!$D214, Rankings!$F$2:$F$987, Rankings!$F214, Rankings!$G$2:$G$987, "&lt;"&amp;Rankings!$G214)+1, "TBD")</f>
        <v>4</v>
      </c>
      <c r="T214" s="225">
        <v>1.0</v>
      </c>
      <c r="U214" s="225" t="b">
        <f>Rankings!$S214=Rankings!$T214</f>
        <v>0</v>
      </c>
      <c r="V214" s="226"/>
      <c r="W214" s="153"/>
    </row>
    <row r="215" ht="15.0" customHeight="1">
      <c r="A215" s="134"/>
      <c r="B215" s="134"/>
      <c r="C215" s="134"/>
      <c r="D215" s="219">
        <f>D212</f>
        <v>45978</v>
      </c>
      <c r="E215" s="227" t="str">
        <f>$N$1</f>
        <v>Rosey</v>
      </c>
      <c r="F215" s="220">
        <f>IFERROR(AVERAGE(Rankings!$K215:$R215), "TBD")</f>
        <v>4</v>
      </c>
      <c r="G215" s="220">
        <f>IFERROR(_xlfn.STDEV.P(Rankings!$K215:$R215), "TBD")</f>
        <v>2.507132682</v>
      </c>
      <c r="H215" s="221">
        <f>IFERROR(AVERAGE(Rankings!$K215:$M215, Rankings!$O215:$R215), "TBD")</f>
        <v>4.333333333</v>
      </c>
      <c r="I215" s="222" t="s">
        <v>795</v>
      </c>
      <c r="J215" s="222" t="s">
        <v>796</v>
      </c>
      <c r="K215" s="143">
        <v>4.0</v>
      </c>
      <c r="L215" s="144">
        <v>1.0</v>
      </c>
      <c r="M215" s="144">
        <v>1.0</v>
      </c>
      <c r="N215" s="144">
        <v>2.0</v>
      </c>
      <c r="O215" s="144">
        <v>6.0</v>
      </c>
      <c r="P215" s="144">
        <v>7.0</v>
      </c>
      <c r="Q215" s="122"/>
      <c r="R215" s="223">
        <v>7.0</v>
      </c>
      <c r="S215" s="147">
        <f>IF(SUM(Rankings!$K215:$R215)&gt;0, COUNTIFS(Rankings!$D$2:$D$987, Rankings!$D215, Rankings!$F$2:$F$987, "&lt;"&amp;Rankings!$F215) + COUNTIFS(Rankings!$D$2:$D$987, Rankings!$D215, Rankings!$F$2:$F$987, Rankings!$F215, Rankings!$G$2:$G$987, "&lt;"&amp;Rankings!$G215)+1, "TBD")</f>
        <v>3</v>
      </c>
      <c r="T215" s="225">
        <v>1.0</v>
      </c>
      <c r="U215" s="225" t="b">
        <f>Rankings!$S215=Rankings!$T215</f>
        <v>0</v>
      </c>
      <c r="V215" s="226"/>
      <c r="W215" s="153"/>
    </row>
    <row r="216" ht="15.0" customHeight="1">
      <c r="A216" s="134"/>
      <c r="B216" s="134"/>
      <c r="C216" s="134"/>
      <c r="D216" s="219">
        <f t="shared" ref="D216:D218" si="31">D212</f>
        <v>45978</v>
      </c>
      <c r="E216" s="227" t="str">
        <f>$O$1</f>
        <v>TTAC</v>
      </c>
      <c r="F216" s="220">
        <f>IFERROR(AVERAGE(Rankings!$K216:$R216), "TBD")</f>
        <v>4.285714286</v>
      </c>
      <c r="G216" s="220">
        <f>IFERROR(_xlfn.STDEV.P(Rankings!$K216:$R216), "TBD")</f>
        <v>2.864276808</v>
      </c>
      <c r="H216" s="221">
        <f>IFERROR(AVERAGE(Rankings!$K216:$N216, Rankings!$P216:$R216), "TBD")</f>
        <v>4.833333333</v>
      </c>
      <c r="I216" s="222" t="s">
        <v>797</v>
      </c>
      <c r="J216" s="222" t="s">
        <v>798</v>
      </c>
      <c r="K216" s="143">
        <v>6.0</v>
      </c>
      <c r="L216" s="144">
        <v>7.0</v>
      </c>
      <c r="M216" s="144">
        <v>7.0</v>
      </c>
      <c r="N216" s="144">
        <v>7.0</v>
      </c>
      <c r="O216" s="144">
        <v>1.0</v>
      </c>
      <c r="P216" s="144">
        <v>1.0</v>
      </c>
      <c r="Q216" s="122"/>
      <c r="R216" s="223">
        <v>1.0</v>
      </c>
      <c r="S216" s="147">
        <f>IF(SUM(Rankings!$K216:$R216)&gt;0, COUNTIFS(Rankings!$D$2:$D$987, Rankings!$D216, Rankings!$F$2:$F$987, "&lt;"&amp;Rankings!$F216) + COUNTIFS(Rankings!$D$2:$D$987, Rankings!$D216, Rankings!$F$2:$F$987, Rankings!$F216, Rankings!$G$2:$G$987, "&lt;"&amp;Rankings!$G216)+1, "TBD")</f>
        <v>5</v>
      </c>
      <c r="T216" s="225">
        <v>1.0</v>
      </c>
      <c r="U216" s="225" t="b">
        <f>Rankings!$S216=Rankings!$T216</f>
        <v>0</v>
      </c>
      <c r="V216" s="226"/>
      <c r="W216" s="153"/>
    </row>
    <row r="217" ht="15.0" customHeight="1">
      <c r="A217" s="134"/>
      <c r="B217" s="134"/>
      <c r="C217" s="134"/>
      <c r="D217" s="219">
        <f t="shared" si="31"/>
        <v>45978</v>
      </c>
      <c r="E217" s="227" t="str">
        <f>$P$1</f>
        <v>Weston</v>
      </c>
      <c r="F217" s="220">
        <f>IFERROR(AVERAGE(Rankings!$K217:$R217), "TBD")</f>
        <v>3.571428571</v>
      </c>
      <c r="G217" s="220">
        <f>IFERROR(_xlfn.STDEV.P(Rankings!$K217:$R217), "TBD")</f>
        <v>1.761261144</v>
      </c>
      <c r="H217" s="221">
        <f>IFERROR(AVERAGE(Rankings!$K217:$O217, Rankings!$R217), "TBD")</f>
        <v>3.833333333</v>
      </c>
      <c r="I217" s="222" t="s">
        <v>799</v>
      </c>
      <c r="J217" s="222" t="s">
        <v>800</v>
      </c>
      <c r="K217" s="143">
        <v>2.0</v>
      </c>
      <c r="L217" s="144">
        <v>5.0</v>
      </c>
      <c r="M217" s="144">
        <v>6.0</v>
      </c>
      <c r="N217" s="144">
        <v>1.0</v>
      </c>
      <c r="O217" s="144">
        <v>4.0</v>
      </c>
      <c r="P217" s="144">
        <v>2.0</v>
      </c>
      <c r="Q217" s="122"/>
      <c r="R217" s="223">
        <v>5.0</v>
      </c>
      <c r="S217" s="147">
        <f>IF(SUM(Rankings!$K217:$R217)&gt;0, COUNTIFS(Rankings!$D$2:$D$987, Rankings!$D217, Rankings!$F$2:$F$987, "&lt;"&amp;Rankings!$F217) + COUNTIFS(Rankings!$D$2:$D$987, Rankings!$D217, Rankings!$F$2:$F$987, Rankings!$F217, Rankings!$G$2:$G$987, "&lt;"&amp;Rankings!$G217)+1, "TBD")</f>
        <v>2</v>
      </c>
      <c r="T217" s="225">
        <v>1.0</v>
      </c>
      <c r="U217" s="225" t="b">
        <f>Rankings!$S217=Rankings!$T217</f>
        <v>0</v>
      </c>
      <c r="V217" s="226"/>
      <c r="W217" s="153"/>
    </row>
    <row r="218" ht="15.0" customHeight="1">
      <c r="A218" s="189"/>
      <c r="B218" s="189"/>
      <c r="C218" s="189"/>
      <c r="D218" s="235">
        <f t="shared" si="31"/>
        <v>45978</v>
      </c>
      <c r="E218" s="237" t="str">
        <f>$R$1</f>
        <v>Jake</v>
      </c>
      <c r="F218" s="240">
        <f>IFERROR(AVERAGE(Rankings!$K218:$R218), "TBD")</f>
        <v>4.571428571</v>
      </c>
      <c r="G218" s="240">
        <f>IFERROR(_xlfn.STDEV.P(Rankings!$K218:$R218), "TBD")</f>
        <v>1.399708424</v>
      </c>
      <c r="H218" s="242">
        <f>IFERROR(AVERAGE(Rankings!$K218:$P218), "TBD")</f>
        <v>4.666666667</v>
      </c>
      <c r="I218" s="243" t="s">
        <v>801</v>
      </c>
      <c r="J218" s="243" t="s">
        <v>802</v>
      </c>
      <c r="K218" s="199">
        <v>7.0</v>
      </c>
      <c r="L218" s="201">
        <v>4.0</v>
      </c>
      <c r="M218" s="201">
        <v>5.0</v>
      </c>
      <c r="N218" s="201">
        <v>5.0</v>
      </c>
      <c r="O218" s="201">
        <v>2.0</v>
      </c>
      <c r="P218" s="201">
        <v>5.0</v>
      </c>
      <c r="Q218" s="122"/>
      <c r="R218" s="244">
        <v>4.0</v>
      </c>
      <c r="S218" s="203">
        <f>IF(SUM(Rankings!$K218:$R218)&gt;0, COUNTIFS(Rankings!$D$2:$D$987, Rankings!$D218, Rankings!$F$2:$F$987, "&lt;"&amp;Rankings!$F218) + COUNTIFS(Rankings!$D$2:$D$987, Rankings!$D218, Rankings!$F$2:$F$987, Rankings!$F218, Rankings!$G$2:$G$987, "&lt;"&amp;Rankings!$G218)+1, "TBD")</f>
        <v>7</v>
      </c>
      <c r="T218" s="247">
        <v>1.0</v>
      </c>
      <c r="U218" s="247" t="b">
        <f>Rankings!$S218=Rankings!$T218</f>
        <v>0</v>
      </c>
      <c r="V218" s="248"/>
      <c r="W218" s="208"/>
    </row>
    <row r="219" ht="15.0" customHeight="1">
      <c r="A219" s="103">
        <v>45980.0</v>
      </c>
      <c r="B219" s="104"/>
      <c r="C219" s="104" t="str">
        <f t="array" ref="C219">INDEX(Rankings!$E219:$E225, MATCH(1, (Rankings!$D219:$D225=$A219)*(Rankings!$U219:$U225=TRUE()), 0))</f>
        <v>Weston</v>
      </c>
      <c r="D219" s="111">
        <f>A219</f>
        <v>45980</v>
      </c>
      <c r="E219" s="113" t="str">
        <f>$K$1</f>
        <v>Logan</v>
      </c>
      <c r="F219" s="115">
        <f>IFERROR(AVERAGE(Rankings!$K219:$R219), "TBD")</f>
        <v>3.285714286</v>
      </c>
      <c r="G219" s="115">
        <f>IFERROR(_xlfn.STDEV.P(Rankings!$K219:$R219), "TBD")</f>
        <v>1.484614978</v>
      </c>
      <c r="H219" s="117">
        <f>IFERROR(AVERAGE(Rankings!$L219:$R219), "TBD")</f>
        <v>3.5</v>
      </c>
      <c r="I219" s="119" t="s">
        <v>803</v>
      </c>
      <c r="J219" s="119" t="s">
        <v>804</v>
      </c>
      <c r="K219" s="120">
        <v>2.0</v>
      </c>
      <c r="L219" s="121">
        <v>5.0</v>
      </c>
      <c r="M219" s="121">
        <v>4.0</v>
      </c>
      <c r="N219" s="121">
        <v>1.0</v>
      </c>
      <c r="O219" s="121">
        <v>4.0</v>
      </c>
      <c r="P219" s="121">
        <v>2.0</v>
      </c>
      <c r="Q219" s="122"/>
      <c r="R219" s="216">
        <v>5.0</v>
      </c>
      <c r="S219" s="126">
        <f>IF(SUM(Rankings!$K219:$R219)&gt;0, COUNTIFS(Rankings!$D$2:$D$987, Rankings!$D219, Rankings!$F$2:$F$987, "&lt;"&amp;Rankings!$F219) + COUNTIFS(Rankings!$D$2:$D$987, Rankings!$D219, Rankings!$F$2:$F$987, Rankings!$F219, Rankings!$G$2:$G$987, "&lt;"&amp;Rankings!$G219)+1, "TBD")</f>
        <v>2</v>
      </c>
      <c r="T219" s="217">
        <v>1.0</v>
      </c>
      <c r="U219" s="217" t="b">
        <f>Rankings!$S219=Rankings!$T219</f>
        <v>0</v>
      </c>
      <c r="V219" s="133"/>
      <c r="W219" s="133"/>
    </row>
    <row r="220" ht="15.0" customHeight="1">
      <c r="A220" s="134"/>
      <c r="B220" s="134"/>
      <c r="C220" s="134"/>
      <c r="D220" s="219">
        <f>D219</f>
        <v>45980</v>
      </c>
      <c r="E220" s="138" t="str">
        <f>$L$1</f>
        <v>Parker</v>
      </c>
      <c r="F220" s="220">
        <f>IFERROR(AVERAGE(Rankings!$K220:$R220), "TBD")</f>
        <v>4.142857143</v>
      </c>
      <c r="G220" s="220">
        <f>IFERROR(_xlfn.STDEV.P(Rankings!$K220:$R220), "TBD")</f>
        <v>1.726149425</v>
      </c>
      <c r="H220" s="221">
        <f>IFERROR(AVERAGE(Rankings!$K220, Rankings!$M220:$R220), "TBD")</f>
        <v>4.5</v>
      </c>
      <c r="I220" s="222" t="s">
        <v>805</v>
      </c>
      <c r="J220" s="222" t="s">
        <v>806</v>
      </c>
      <c r="K220" s="143">
        <v>3.0</v>
      </c>
      <c r="L220" s="144">
        <v>2.0</v>
      </c>
      <c r="M220" s="144">
        <v>2.0</v>
      </c>
      <c r="N220" s="144">
        <v>6.0</v>
      </c>
      <c r="O220" s="144">
        <v>6.0</v>
      </c>
      <c r="P220" s="144">
        <v>6.0</v>
      </c>
      <c r="Q220" s="122"/>
      <c r="R220" s="223">
        <v>4.0</v>
      </c>
      <c r="S220" s="147">
        <f>IF(SUM(Rankings!$K220:$R220)&gt;0, COUNTIFS(Rankings!$D$2:$D$987, Rankings!$D220, Rankings!$F$2:$F$987, "&lt;"&amp;Rankings!$F220) + COUNTIFS(Rankings!$D$2:$D$987, Rankings!$D220, Rankings!$F$2:$F$987, Rankings!$F220, Rankings!$G$2:$G$987, "&lt;"&amp;Rankings!$G220)+1, "TBD")</f>
        <v>5</v>
      </c>
      <c r="T220" s="225">
        <v>1.0</v>
      </c>
      <c r="U220" s="225" t="b">
        <f>Rankings!$S220=Rankings!$T220</f>
        <v>0</v>
      </c>
      <c r="V220" s="226"/>
      <c r="W220" s="153"/>
    </row>
    <row r="221" ht="15.0" customHeight="1">
      <c r="A221" s="134"/>
      <c r="B221" s="134"/>
      <c r="C221" s="134"/>
      <c r="D221" s="219">
        <f>D219</f>
        <v>45980</v>
      </c>
      <c r="E221" s="227" t="str">
        <f>$M$1</f>
        <v>Giacomo</v>
      </c>
      <c r="F221" s="220">
        <f>IFERROR(AVERAGE(Rankings!$K221:$R221), "TBD")</f>
        <v>3.857142857</v>
      </c>
      <c r="G221" s="220">
        <f>IFERROR(_xlfn.STDEV.P(Rankings!$K221:$R221), "TBD")</f>
        <v>1.807015806</v>
      </c>
      <c r="H221" s="221">
        <f>IFERROR(AVERAGE(Rankings!$K221:$L221, Rankings!$N221:$R221), "TBD")</f>
        <v>4.333333333</v>
      </c>
      <c r="I221" s="222" t="s">
        <v>807</v>
      </c>
      <c r="J221" s="222" t="s">
        <v>808</v>
      </c>
      <c r="K221" s="143">
        <v>5.0</v>
      </c>
      <c r="L221" s="144">
        <v>4.0</v>
      </c>
      <c r="M221" s="144">
        <v>1.0</v>
      </c>
      <c r="N221" s="144">
        <v>4.0</v>
      </c>
      <c r="O221" s="144">
        <v>2.0</v>
      </c>
      <c r="P221" s="144">
        <v>4.0</v>
      </c>
      <c r="Q221" s="122"/>
      <c r="R221" s="223">
        <v>7.0</v>
      </c>
      <c r="S221" s="147">
        <f>IF(SUM(Rankings!$K221:$R221)&gt;0, COUNTIFS(Rankings!$D$2:$D$987, Rankings!$D221, Rankings!$F$2:$F$987, "&lt;"&amp;Rankings!$F221) + COUNTIFS(Rankings!$D$2:$D$987, Rankings!$D221, Rankings!$F$2:$F$987, Rankings!$F221, Rankings!$G$2:$G$987, "&lt;"&amp;Rankings!$G221)+1, "TBD")</f>
        <v>3</v>
      </c>
      <c r="T221" s="225">
        <v>1.0</v>
      </c>
      <c r="U221" s="225" t="b">
        <f>Rankings!$S221=Rankings!$T221</f>
        <v>0</v>
      </c>
      <c r="V221" s="226"/>
      <c r="W221" s="153"/>
    </row>
    <row r="222" ht="15.0" customHeight="1">
      <c r="A222" s="134"/>
      <c r="B222" s="134"/>
      <c r="C222" s="134"/>
      <c r="D222" s="219">
        <f>D219</f>
        <v>45980</v>
      </c>
      <c r="E222" s="227" t="str">
        <f>$N$1</f>
        <v>Rosey</v>
      </c>
      <c r="F222" s="220">
        <f>IFERROR(AVERAGE(Rankings!$K222:$R222), "TBD")</f>
        <v>3.857142857</v>
      </c>
      <c r="G222" s="220">
        <f>IFERROR(_xlfn.STDEV.P(Rankings!$K222:$R222), "TBD")</f>
        <v>1.884415137</v>
      </c>
      <c r="H222" s="221">
        <f>IFERROR(AVERAGE(Rankings!$K222:$M222, Rankings!$O222:$R222), "TBD")</f>
        <v>4</v>
      </c>
      <c r="I222" s="222" t="s">
        <v>809</v>
      </c>
      <c r="J222" s="222" t="s">
        <v>810</v>
      </c>
      <c r="K222" s="143">
        <v>4.0</v>
      </c>
      <c r="L222" s="144">
        <v>1.0</v>
      </c>
      <c r="M222" s="144">
        <v>3.0</v>
      </c>
      <c r="N222" s="144">
        <v>3.0</v>
      </c>
      <c r="O222" s="144">
        <v>3.0</v>
      </c>
      <c r="P222" s="144">
        <v>7.0</v>
      </c>
      <c r="Q222" s="122"/>
      <c r="R222" s="223">
        <v>6.0</v>
      </c>
      <c r="S222" s="147">
        <f>IF(SUM(Rankings!$K222:$R222)&gt;0, COUNTIFS(Rankings!$D$2:$D$987, Rankings!$D222, Rankings!$F$2:$F$987, "&lt;"&amp;Rankings!$F222) + COUNTIFS(Rankings!$D$2:$D$987, Rankings!$D222, Rankings!$F$2:$F$987, Rankings!$F222, Rankings!$G$2:$G$987, "&lt;"&amp;Rankings!$G222)+1, "TBD")</f>
        <v>4</v>
      </c>
      <c r="T222" s="225">
        <v>1.0</v>
      </c>
      <c r="U222" s="225" t="b">
        <f>Rankings!$S222=Rankings!$T222</f>
        <v>0</v>
      </c>
      <c r="V222" s="226"/>
      <c r="W222" s="153"/>
    </row>
    <row r="223" ht="15.0" customHeight="1">
      <c r="A223" s="134"/>
      <c r="B223" s="134"/>
      <c r="C223" s="134"/>
      <c r="D223" s="219">
        <f t="shared" ref="D223:D225" si="32">D219</f>
        <v>45980</v>
      </c>
      <c r="E223" s="227" t="str">
        <f>$O$1</f>
        <v>TTAC</v>
      </c>
      <c r="F223" s="220">
        <f>IFERROR(AVERAGE(Rankings!$K223:$R223), "TBD")</f>
        <v>5</v>
      </c>
      <c r="G223" s="220">
        <f>IFERROR(_xlfn.STDEV.P(Rankings!$K223:$R223), "TBD")</f>
        <v>2.138089935</v>
      </c>
      <c r="H223" s="221">
        <f>IFERROR(AVERAGE(Rankings!$K223:$N223, Rankings!$P223:$R223), "TBD")</f>
        <v>5.666666667</v>
      </c>
      <c r="I223" s="222" t="s">
        <v>811</v>
      </c>
      <c r="J223" s="222" t="s">
        <v>812</v>
      </c>
      <c r="K223" s="143">
        <v>7.0</v>
      </c>
      <c r="L223" s="144">
        <v>7.0</v>
      </c>
      <c r="M223" s="144">
        <v>7.0</v>
      </c>
      <c r="N223" s="144">
        <v>5.0</v>
      </c>
      <c r="O223" s="144">
        <v>1.0</v>
      </c>
      <c r="P223" s="144">
        <v>5.0</v>
      </c>
      <c r="Q223" s="122"/>
      <c r="R223" s="223">
        <v>3.0</v>
      </c>
      <c r="S223" s="147">
        <f>IF(SUM(Rankings!$K223:$R223)&gt;0, COUNTIFS(Rankings!$D$2:$D$987, Rankings!$D223, Rankings!$F$2:$F$987, "&lt;"&amp;Rankings!$F223) + COUNTIFS(Rankings!$D$2:$D$987, Rankings!$D223, Rankings!$F$2:$F$987, Rankings!$F223, Rankings!$G$2:$G$987, "&lt;"&amp;Rankings!$G223)+1, "TBD")</f>
        <v>6</v>
      </c>
      <c r="T223" s="225">
        <v>1.0</v>
      </c>
      <c r="U223" s="225" t="b">
        <f>Rankings!$S223=Rankings!$T223</f>
        <v>0</v>
      </c>
      <c r="V223" s="226"/>
      <c r="W223" s="153"/>
    </row>
    <row r="224" ht="15.0" customHeight="1">
      <c r="A224" s="134"/>
      <c r="B224" s="134"/>
      <c r="C224" s="134"/>
      <c r="D224" s="219">
        <f t="shared" si="32"/>
        <v>45980</v>
      </c>
      <c r="E224" s="227" t="str">
        <f>$P$1</f>
        <v>Weston</v>
      </c>
      <c r="F224" s="220">
        <f>IFERROR(AVERAGE(Rankings!$K224:$R224), "TBD")</f>
        <v>2.571428571</v>
      </c>
      <c r="G224" s="220">
        <f>IFERROR(_xlfn.STDEV.P(Rankings!$K224:$R224), "TBD")</f>
        <v>1.678191446</v>
      </c>
      <c r="H224" s="221">
        <f>IFERROR(AVERAGE(Rankings!$K224:$O224, Rankings!$R224), "TBD")</f>
        <v>2.833333333</v>
      </c>
      <c r="I224" s="222" t="s">
        <v>497</v>
      </c>
      <c r="J224" s="222" t="s">
        <v>498</v>
      </c>
      <c r="K224" s="143">
        <v>1.0</v>
      </c>
      <c r="L224" s="144">
        <v>3.0</v>
      </c>
      <c r="M224" s="144">
        <v>5.0</v>
      </c>
      <c r="N224" s="144">
        <v>2.0</v>
      </c>
      <c r="O224" s="144">
        <v>5.0</v>
      </c>
      <c r="P224" s="144">
        <v>1.0</v>
      </c>
      <c r="Q224" s="122"/>
      <c r="R224" s="223">
        <v>1.0</v>
      </c>
      <c r="S224" s="147">
        <f>IF(SUM(Rankings!$K224:$R224)&gt;0, COUNTIFS(Rankings!$D$2:$D$987, Rankings!$D224, Rankings!$F$2:$F$987, "&lt;"&amp;Rankings!$F224) + COUNTIFS(Rankings!$D$2:$D$987, Rankings!$D224, Rankings!$F$2:$F$987, Rankings!$F224, Rankings!$G$2:$G$987, "&lt;"&amp;Rankings!$G224)+1, "TBD")</f>
        <v>1</v>
      </c>
      <c r="T224" s="225">
        <v>1.0</v>
      </c>
      <c r="U224" s="225" t="b">
        <f>Rankings!$S224=Rankings!$T224</f>
        <v>1</v>
      </c>
      <c r="V224" s="226"/>
      <c r="W224" s="153"/>
    </row>
    <row r="225" ht="15.0" customHeight="1">
      <c r="A225" s="189"/>
      <c r="B225" s="189"/>
      <c r="C225" s="189"/>
      <c r="D225" s="235">
        <f t="shared" si="32"/>
        <v>45980</v>
      </c>
      <c r="E225" s="237" t="str">
        <f>$R$1</f>
        <v>Jake</v>
      </c>
      <c r="F225" s="240">
        <f>IFERROR(AVERAGE(Rankings!$K225:$R225), "TBD")</f>
        <v>5.285714286</v>
      </c>
      <c r="G225" s="240">
        <f>IFERROR(_xlfn.STDEV.P(Rankings!$K225:$R225), "TBD")</f>
        <v>1.829464068</v>
      </c>
      <c r="H225" s="242">
        <f>IFERROR(AVERAGE(Rankings!$K225:$P225), "TBD")</f>
        <v>5.833333333</v>
      </c>
      <c r="I225" s="243" t="s">
        <v>813</v>
      </c>
      <c r="J225" s="243" t="s">
        <v>814</v>
      </c>
      <c r="K225" s="199">
        <v>6.0</v>
      </c>
      <c r="L225" s="201">
        <v>6.0</v>
      </c>
      <c r="M225" s="201">
        <v>6.0</v>
      </c>
      <c r="N225" s="201">
        <v>7.0</v>
      </c>
      <c r="O225" s="201">
        <v>7.0</v>
      </c>
      <c r="P225" s="201">
        <v>3.0</v>
      </c>
      <c r="Q225" s="122"/>
      <c r="R225" s="244">
        <v>2.0</v>
      </c>
      <c r="S225" s="203">
        <f>IF(SUM(Rankings!$K225:$R225)&gt;0, COUNTIFS(Rankings!$D$2:$D$987, Rankings!$D225, Rankings!$F$2:$F$987, "&lt;"&amp;Rankings!$F225) + COUNTIFS(Rankings!$D$2:$D$987, Rankings!$D225, Rankings!$F$2:$F$987, Rankings!$F225, Rankings!$G$2:$G$987, "&lt;"&amp;Rankings!$G225)+1, "TBD")</f>
        <v>7</v>
      </c>
      <c r="T225" s="247">
        <v>1.0</v>
      </c>
      <c r="U225" s="247" t="b">
        <f>Rankings!$S225=Rankings!$T225</f>
        <v>0</v>
      </c>
      <c r="V225" s="248"/>
      <c r="W225" s="208"/>
    </row>
    <row r="226" ht="15.0" customHeight="1">
      <c r="A226" s="103">
        <v>45982.0</v>
      </c>
      <c r="B226" s="104"/>
      <c r="C226" s="104" t="str">
        <f t="array" ref="C226">INDEX(Rankings!$E226:$E232, MATCH(1, (Rankings!$D226:$D232=$A226)*(Rankings!$U226:$U232=TRUE()), 0))</f>
        <v>TTAC</v>
      </c>
      <c r="D226" s="111">
        <f>A226</f>
        <v>45982</v>
      </c>
      <c r="E226" s="113" t="str">
        <f>$K$1</f>
        <v>Logan</v>
      </c>
      <c r="F226" s="115">
        <f>IFERROR(AVERAGE(Rankings!$K226:$R226), "TBD")</f>
        <v>5.285714286</v>
      </c>
      <c r="G226" s="115">
        <f>IFERROR(_xlfn.STDEV.P(Rankings!$K226:$R226), "TBD")</f>
        <v>2.710523709</v>
      </c>
      <c r="H226" s="117">
        <f>IFERROR(AVERAGE(Rankings!$L226:$R226), "TBD")</f>
        <v>6</v>
      </c>
      <c r="I226" s="119" t="s">
        <v>815</v>
      </c>
      <c r="J226" s="119" t="s">
        <v>816</v>
      </c>
      <c r="K226" s="120">
        <v>1.0</v>
      </c>
      <c r="L226" s="121">
        <v>7.0</v>
      </c>
      <c r="M226" s="121">
        <v>7.0</v>
      </c>
      <c r="N226" s="121">
        <v>7.0</v>
      </c>
      <c r="O226" s="121">
        <v>7.0</v>
      </c>
      <c r="P226" s="121">
        <v>7.0</v>
      </c>
      <c r="Q226" s="122"/>
      <c r="R226" s="216">
        <v>1.0</v>
      </c>
      <c r="S226" s="126">
        <f>IF(SUM(Rankings!$K226:$R226)&gt;0, COUNTIFS(Rankings!$D$2:$D$987, Rankings!$D226, Rankings!$F$2:$F$987, "&lt;"&amp;Rankings!$F226) + COUNTIFS(Rankings!$D$2:$D$987, Rankings!$D226, Rankings!$F$2:$F$987, Rankings!$F226, Rankings!$G$2:$G$987, "&lt;"&amp;Rankings!$G226)+1, "TBD")</f>
        <v>7</v>
      </c>
      <c r="T226" s="217">
        <v>1.0</v>
      </c>
      <c r="U226" s="217" t="b">
        <f>Rankings!$S226=Rankings!$T226</f>
        <v>0</v>
      </c>
      <c r="V226" s="133"/>
      <c r="W226" s="133"/>
    </row>
    <row r="227" ht="15.0" customHeight="1">
      <c r="A227" s="134"/>
      <c r="B227" s="134"/>
      <c r="C227" s="134"/>
      <c r="D227" s="219">
        <f>D226</f>
        <v>45982</v>
      </c>
      <c r="E227" s="138" t="str">
        <f>$L$1</f>
        <v>Parker</v>
      </c>
      <c r="F227" s="220">
        <f>IFERROR(AVERAGE(Rankings!$K227:$R227), "TBD")</f>
        <v>3.857142857</v>
      </c>
      <c r="G227" s="220">
        <f>IFERROR(_xlfn.STDEV.P(Rankings!$K227:$R227), "TBD")</f>
        <v>1.958758457</v>
      </c>
      <c r="H227" s="221">
        <f>IFERROR(AVERAGE(Rankings!$K227, Rankings!$M227:$R227), "TBD")</f>
        <v>4.333333333</v>
      </c>
      <c r="I227" s="222" t="s">
        <v>817</v>
      </c>
      <c r="J227" s="222" t="s">
        <v>818</v>
      </c>
      <c r="K227" s="143">
        <v>4.0</v>
      </c>
      <c r="L227" s="144">
        <v>1.0</v>
      </c>
      <c r="M227" s="144">
        <v>1.0</v>
      </c>
      <c r="N227" s="144">
        <v>6.0</v>
      </c>
      <c r="O227" s="144">
        <v>4.0</v>
      </c>
      <c r="P227" s="144">
        <v>5.0</v>
      </c>
      <c r="Q227" s="122"/>
      <c r="R227" s="223">
        <v>6.0</v>
      </c>
      <c r="S227" s="147">
        <f>IF(SUM(Rankings!$K227:$R227)&gt;0, COUNTIFS(Rankings!$D$2:$D$987, Rankings!$D227, Rankings!$F$2:$F$987, "&lt;"&amp;Rankings!$F227) + COUNTIFS(Rankings!$D$2:$D$987, Rankings!$D227, Rankings!$F$2:$F$987, Rankings!$F227, Rankings!$G$2:$G$987, "&lt;"&amp;Rankings!$G227)+1, "TBD")</f>
        <v>4</v>
      </c>
      <c r="T227" s="225">
        <v>1.0</v>
      </c>
      <c r="U227" s="225" t="b">
        <f>Rankings!$S227=Rankings!$T227</f>
        <v>0</v>
      </c>
      <c r="V227" s="226"/>
      <c r="W227" s="153"/>
    </row>
    <row r="228" ht="15.0" customHeight="1">
      <c r="A228" s="134"/>
      <c r="B228" s="134"/>
      <c r="C228" s="134"/>
      <c r="D228" s="219">
        <f>D226</f>
        <v>45982</v>
      </c>
      <c r="E228" s="227" t="str">
        <f>$M$1</f>
        <v>Giacomo</v>
      </c>
      <c r="F228" s="220">
        <f>IFERROR(AVERAGE(Rankings!$K228:$R228), "TBD")</f>
        <v>3.285714286</v>
      </c>
      <c r="G228" s="220">
        <f>IFERROR(_xlfn.STDEV.P(Rankings!$K228:$R228), "TBD")</f>
        <v>1.577908717</v>
      </c>
      <c r="H228" s="221">
        <f>IFERROR(AVERAGE(Rankings!$K228:$L228, Rankings!$N228:$R228), "TBD")</f>
        <v>3.5</v>
      </c>
      <c r="I228" s="222" t="s">
        <v>819</v>
      </c>
      <c r="J228" s="222" t="s">
        <v>820</v>
      </c>
      <c r="K228" s="143">
        <v>5.0</v>
      </c>
      <c r="L228" s="144">
        <v>3.0</v>
      </c>
      <c r="M228" s="144">
        <v>2.0</v>
      </c>
      <c r="N228" s="144">
        <v>2.0</v>
      </c>
      <c r="O228" s="144">
        <v>5.0</v>
      </c>
      <c r="P228" s="144">
        <v>1.0</v>
      </c>
      <c r="Q228" s="122"/>
      <c r="R228" s="223">
        <v>5.0</v>
      </c>
      <c r="S228" s="147">
        <f>IF(SUM(Rankings!$K228:$R228)&gt;0, COUNTIFS(Rankings!$D$2:$D$987, Rankings!$D228, Rankings!$F$2:$F$987, "&lt;"&amp;Rankings!$F228) + COUNTIFS(Rankings!$D$2:$D$987, Rankings!$D228, Rankings!$F$2:$F$987, Rankings!$F228, Rankings!$G$2:$G$987, "&lt;"&amp;Rankings!$G228)+1, "TBD")</f>
        <v>2</v>
      </c>
      <c r="T228" s="225">
        <v>1.0</v>
      </c>
      <c r="U228" s="225" t="b">
        <f>Rankings!$S228=Rankings!$T228</f>
        <v>0</v>
      </c>
      <c r="V228" s="226"/>
      <c r="W228" s="153"/>
    </row>
    <row r="229" ht="15.0" customHeight="1">
      <c r="A229" s="134"/>
      <c r="B229" s="134"/>
      <c r="C229" s="134"/>
      <c r="D229" s="219">
        <f>D226</f>
        <v>45982</v>
      </c>
      <c r="E229" s="227" t="str">
        <f>$N$1</f>
        <v>Rosey</v>
      </c>
      <c r="F229" s="220">
        <f>IFERROR(AVERAGE(Rankings!$K229:$R229), "TBD")</f>
        <v>3.428571429</v>
      </c>
      <c r="G229" s="220">
        <f>IFERROR(_xlfn.STDEV.P(Rankings!$K229:$R229), "TBD")</f>
        <v>2.194613071</v>
      </c>
      <c r="H229" s="221">
        <f>IFERROR(AVERAGE(Rankings!$K229:$M229, Rankings!$O229:$R229), "TBD")</f>
        <v>3.833333333</v>
      </c>
      <c r="I229" s="222" t="s">
        <v>821</v>
      </c>
      <c r="J229" s="222" t="s">
        <v>822</v>
      </c>
      <c r="K229" s="143">
        <v>2.0</v>
      </c>
      <c r="L229" s="144">
        <v>4.0</v>
      </c>
      <c r="M229" s="144">
        <v>6.0</v>
      </c>
      <c r="N229" s="144">
        <v>1.0</v>
      </c>
      <c r="O229" s="144">
        <v>1.0</v>
      </c>
      <c r="P229" s="144">
        <v>3.0</v>
      </c>
      <c r="Q229" s="122"/>
      <c r="R229" s="223">
        <v>7.0</v>
      </c>
      <c r="S229" s="147">
        <f>IF(SUM(Rankings!$K229:$R229)&gt;0, COUNTIFS(Rankings!$D$2:$D$987, Rankings!$D229, Rankings!$F$2:$F$987, "&lt;"&amp;Rankings!$F229) + COUNTIFS(Rankings!$D$2:$D$987, Rankings!$D229, Rankings!$F$2:$F$987, Rankings!$F229, Rankings!$G$2:$G$987, "&lt;"&amp;Rankings!$G229)+1, "TBD")</f>
        <v>3</v>
      </c>
      <c r="T229" s="225">
        <v>1.0</v>
      </c>
      <c r="U229" s="225" t="b">
        <f>Rankings!$S229=Rankings!$T229</f>
        <v>0</v>
      </c>
      <c r="V229" s="226"/>
      <c r="W229" s="153"/>
    </row>
    <row r="230" ht="15.0" customHeight="1">
      <c r="A230" s="134"/>
      <c r="B230" s="134"/>
      <c r="C230" s="134"/>
      <c r="D230" s="219">
        <f t="shared" ref="D230:D232" si="33">D226</f>
        <v>45982</v>
      </c>
      <c r="E230" s="227" t="str">
        <f>$O$1</f>
        <v>TTAC</v>
      </c>
      <c r="F230" s="220">
        <f>IFERROR(AVERAGE(Rankings!$K230:$R230), "TBD")</f>
        <v>3.285714286</v>
      </c>
      <c r="G230" s="220">
        <f>IFERROR(_xlfn.STDEV.P(Rankings!$K230:$R230), "TBD")</f>
        <v>1.030157507</v>
      </c>
      <c r="H230" s="221">
        <f>IFERROR(AVERAGE(Rankings!$K230:$N230, Rankings!$P230:$R230), "TBD")</f>
        <v>3.5</v>
      </c>
      <c r="I230" s="222" t="s">
        <v>499</v>
      </c>
      <c r="J230" s="222" t="s">
        <v>500</v>
      </c>
      <c r="K230" s="143">
        <v>3.0</v>
      </c>
      <c r="L230" s="144">
        <v>2.0</v>
      </c>
      <c r="M230" s="144">
        <v>5.0</v>
      </c>
      <c r="N230" s="144">
        <v>3.0</v>
      </c>
      <c r="O230" s="144">
        <v>2.0</v>
      </c>
      <c r="P230" s="144">
        <v>4.0</v>
      </c>
      <c r="Q230" s="122"/>
      <c r="R230" s="223">
        <v>4.0</v>
      </c>
      <c r="S230" s="147">
        <f>IF(SUM(Rankings!$K230:$R230)&gt;0, COUNTIFS(Rankings!$D$2:$D$987, Rankings!$D230, Rankings!$F$2:$F$987, "&lt;"&amp;Rankings!$F230) + COUNTIFS(Rankings!$D$2:$D$987, Rankings!$D230, Rankings!$F$2:$F$987, Rankings!$F230, Rankings!$G$2:$G$987, "&lt;"&amp;Rankings!$G230)+1, "TBD")</f>
        <v>1</v>
      </c>
      <c r="T230" s="225">
        <v>1.0</v>
      </c>
      <c r="U230" s="225" t="b">
        <f>Rankings!$S230=Rankings!$T230</f>
        <v>1</v>
      </c>
      <c r="V230" s="226"/>
      <c r="W230" s="153"/>
    </row>
    <row r="231" ht="15.0" customHeight="1">
      <c r="A231" s="134"/>
      <c r="B231" s="134"/>
      <c r="C231" s="134"/>
      <c r="D231" s="219">
        <f t="shared" si="33"/>
        <v>45982</v>
      </c>
      <c r="E231" s="227" t="str">
        <f>$P$1</f>
        <v>Weston</v>
      </c>
      <c r="F231" s="220">
        <f>IFERROR(AVERAGE(Rankings!$K231:$R231), "TBD")</f>
        <v>4.142857143</v>
      </c>
      <c r="G231" s="220">
        <f>IFERROR(_xlfn.STDEV.P(Rankings!$K231:$R231), "TBD")</f>
        <v>1.807015806</v>
      </c>
      <c r="H231" s="221">
        <f>IFERROR(AVERAGE(Rankings!$K231:$O231, Rankings!$R231), "TBD")</f>
        <v>4.5</v>
      </c>
      <c r="I231" s="222" t="s">
        <v>823</v>
      </c>
      <c r="J231" s="222" t="s">
        <v>824</v>
      </c>
      <c r="K231" s="143">
        <v>7.0</v>
      </c>
      <c r="L231" s="144">
        <v>6.0</v>
      </c>
      <c r="M231" s="144">
        <v>4.0</v>
      </c>
      <c r="N231" s="144">
        <v>5.0</v>
      </c>
      <c r="O231" s="144">
        <v>3.0</v>
      </c>
      <c r="P231" s="144">
        <v>2.0</v>
      </c>
      <c r="Q231" s="122"/>
      <c r="R231" s="223">
        <v>2.0</v>
      </c>
      <c r="S231" s="147">
        <f>IF(SUM(Rankings!$K231:$R231)&gt;0, COUNTIFS(Rankings!$D$2:$D$987, Rankings!$D231, Rankings!$F$2:$F$987, "&lt;"&amp;Rankings!$F231) + COUNTIFS(Rankings!$D$2:$D$987, Rankings!$D231, Rankings!$F$2:$F$987, Rankings!$F231, Rankings!$G$2:$G$987, "&lt;"&amp;Rankings!$G231)+1, "TBD")</f>
        <v>5</v>
      </c>
      <c r="T231" s="225">
        <v>1.0</v>
      </c>
      <c r="U231" s="225" t="b">
        <f>Rankings!$S231=Rankings!$T231</f>
        <v>0</v>
      </c>
      <c r="V231" s="226"/>
      <c r="W231" s="153"/>
    </row>
    <row r="232" ht="15.0" customHeight="1">
      <c r="A232" s="189"/>
      <c r="B232" s="189"/>
      <c r="C232" s="189"/>
      <c r="D232" s="235">
        <f t="shared" si="33"/>
        <v>45982</v>
      </c>
      <c r="E232" s="237" t="str">
        <f>$R$1</f>
        <v>Jake</v>
      </c>
      <c r="F232" s="240">
        <f>IFERROR(AVERAGE(Rankings!$K232:$R232), "TBD")</f>
        <v>4.714285714</v>
      </c>
      <c r="G232" s="240">
        <f>IFERROR(_xlfn.STDEV.P(Rankings!$K232:$R232), "TBD")</f>
        <v>1.27775313</v>
      </c>
      <c r="H232" s="242">
        <f>IFERROR(AVERAGE(Rankings!$K232:$P232), "TBD")</f>
        <v>5</v>
      </c>
      <c r="I232" s="243" t="s">
        <v>825</v>
      </c>
      <c r="J232" s="243" t="s">
        <v>826</v>
      </c>
      <c r="K232" s="199">
        <v>6.0</v>
      </c>
      <c r="L232" s="201">
        <v>5.0</v>
      </c>
      <c r="M232" s="201">
        <v>3.0</v>
      </c>
      <c r="N232" s="201">
        <v>4.0</v>
      </c>
      <c r="O232" s="201">
        <v>6.0</v>
      </c>
      <c r="P232" s="201">
        <v>6.0</v>
      </c>
      <c r="Q232" s="122"/>
      <c r="R232" s="244">
        <v>3.0</v>
      </c>
      <c r="S232" s="203">
        <f>IF(SUM(Rankings!$K232:$R232)&gt;0, COUNTIFS(Rankings!$D$2:$D$987, Rankings!$D232, Rankings!$F$2:$F$987, "&lt;"&amp;Rankings!$F232) + COUNTIFS(Rankings!$D$2:$D$987, Rankings!$D232, Rankings!$F$2:$F$987, Rankings!$F232, Rankings!$G$2:$G$987, "&lt;"&amp;Rankings!$G232)+1, "TBD")</f>
        <v>6</v>
      </c>
      <c r="T232" s="247">
        <v>1.0</v>
      </c>
      <c r="U232" s="247" t="b">
        <f>Rankings!$S232=Rankings!$T232</f>
        <v>0</v>
      </c>
      <c r="V232" s="248"/>
      <c r="W232" s="208"/>
    </row>
    <row r="233" ht="15.0" customHeight="1">
      <c r="A233" s="103">
        <v>45985.0</v>
      </c>
      <c r="B233" s="104"/>
      <c r="C233" s="104" t="str">
        <f t="array" ref="C233">INDEX(Rankings!$E233:$E239, MATCH(1, (Rankings!$D233:$D239=$A233)*(Rankings!$U233:$U239=TRUE()), 0))</f>
        <v>Giacomo</v>
      </c>
      <c r="D233" s="111">
        <f>A233</f>
        <v>45985</v>
      </c>
      <c r="E233" s="113" t="str">
        <f>$K$1</f>
        <v>Logan</v>
      </c>
      <c r="F233" s="115">
        <f>IFERROR(AVERAGE(Rankings!$K233:$R233), "TBD")</f>
        <v>6.285714286</v>
      </c>
      <c r="G233" s="115">
        <f>IFERROR(_xlfn.STDEV.P(Rankings!$K233:$R233), "TBD")</f>
        <v>0.4517539515</v>
      </c>
      <c r="H233" s="117">
        <f>IFERROR(AVERAGE(Rankings!$L233:$R233), "TBD")</f>
        <v>6.333333333</v>
      </c>
      <c r="I233" s="119" t="s">
        <v>827</v>
      </c>
      <c r="J233" s="119" t="s">
        <v>828</v>
      </c>
      <c r="K233" s="120">
        <v>6.0</v>
      </c>
      <c r="L233" s="121">
        <v>7.0</v>
      </c>
      <c r="M233" s="121">
        <v>7.0</v>
      </c>
      <c r="N233" s="121">
        <v>6.0</v>
      </c>
      <c r="O233" s="121">
        <v>6.0</v>
      </c>
      <c r="P233" s="121">
        <v>6.0</v>
      </c>
      <c r="Q233" s="122"/>
      <c r="R233" s="216">
        <v>6.0</v>
      </c>
      <c r="S233" s="126">
        <f>IF(SUM(Rankings!$K233:$R233)&gt;0, COUNTIFS(Rankings!$D$2:$D$987, Rankings!$D233, Rankings!$F$2:$F$987, "&lt;"&amp;Rankings!$F233) + COUNTIFS(Rankings!$D$2:$D$987, Rankings!$D233, Rankings!$F$2:$F$987, Rankings!$F233, Rankings!$G$2:$G$987, "&lt;"&amp;Rankings!$G233)+1, "TBD")</f>
        <v>7</v>
      </c>
      <c r="T233" s="217">
        <v>1.0</v>
      </c>
      <c r="U233" s="217" t="b">
        <f>Rankings!$S233=Rankings!$T233</f>
        <v>0</v>
      </c>
      <c r="V233" s="133"/>
      <c r="W233" s="133"/>
    </row>
    <row r="234" ht="15.0" customHeight="1">
      <c r="A234" s="134"/>
      <c r="B234" s="134"/>
      <c r="C234" s="134"/>
      <c r="D234" s="219">
        <f>D233</f>
        <v>45985</v>
      </c>
      <c r="E234" s="138" t="str">
        <f>$L$1</f>
        <v>Parker</v>
      </c>
      <c r="F234" s="220">
        <f>IFERROR(AVERAGE(Rankings!$K234:$R234), "TBD")</f>
        <v>3.285714286</v>
      </c>
      <c r="G234" s="220">
        <f>IFERROR(_xlfn.STDEV.P(Rankings!$K234:$R234), "TBD")</f>
        <v>1.905952009</v>
      </c>
      <c r="H234" s="221">
        <f>IFERROR(AVERAGE(Rankings!$K234, Rankings!$M234:$R234), "TBD")</f>
        <v>3.666666667</v>
      </c>
      <c r="I234" s="222" t="s">
        <v>829</v>
      </c>
      <c r="J234" s="222" t="s">
        <v>830</v>
      </c>
      <c r="K234" s="143">
        <v>7.0</v>
      </c>
      <c r="L234" s="144">
        <v>1.0</v>
      </c>
      <c r="M234" s="144">
        <v>2.0</v>
      </c>
      <c r="N234" s="144">
        <v>5.0</v>
      </c>
      <c r="O234" s="144">
        <v>2.0</v>
      </c>
      <c r="P234" s="144">
        <v>3.0</v>
      </c>
      <c r="Q234" s="122"/>
      <c r="R234" s="223">
        <v>3.0</v>
      </c>
      <c r="S234" s="147">
        <f>IF(SUM(Rankings!$K234:$R234)&gt;0, COUNTIFS(Rankings!$D$2:$D$987, Rankings!$D234, Rankings!$F$2:$F$987, "&lt;"&amp;Rankings!$F234) + COUNTIFS(Rankings!$D$2:$D$987, Rankings!$D234, Rankings!$F$2:$F$987, Rankings!$F234, Rankings!$G$2:$G$987, "&lt;"&amp;Rankings!$G234)+1, "TBD")</f>
        <v>2</v>
      </c>
      <c r="T234" s="225">
        <v>1.0</v>
      </c>
      <c r="U234" s="225" t="b">
        <f>Rankings!$S234=Rankings!$T234</f>
        <v>0</v>
      </c>
      <c r="V234" s="226"/>
      <c r="W234" s="153"/>
    </row>
    <row r="235" ht="15.0" customHeight="1">
      <c r="A235" s="134"/>
      <c r="B235" s="134"/>
      <c r="C235" s="134"/>
      <c r="D235" s="219">
        <f>D233</f>
        <v>45985</v>
      </c>
      <c r="E235" s="227" t="str">
        <f>$M$1</f>
        <v>Giacomo</v>
      </c>
      <c r="F235" s="220">
        <f>IFERROR(AVERAGE(Rankings!$K235:$R235), "TBD")</f>
        <v>2.571428571</v>
      </c>
      <c r="G235" s="220">
        <f>IFERROR(_xlfn.STDEV.P(Rankings!$K235:$R235), "TBD")</f>
        <v>0.9035079029</v>
      </c>
      <c r="H235" s="221">
        <f>IFERROR(AVERAGE(Rankings!$K235:$L235, Rankings!$N235:$R235), "TBD")</f>
        <v>2.5</v>
      </c>
      <c r="I235" s="222" t="s">
        <v>501</v>
      </c>
      <c r="J235" s="222" t="s">
        <v>502</v>
      </c>
      <c r="K235" s="143">
        <v>2.0</v>
      </c>
      <c r="L235" s="144">
        <v>2.0</v>
      </c>
      <c r="M235" s="144">
        <v>3.0</v>
      </c>
      <c r="N235" s="144">
        <v>3.0</v>
      </c>
      <c r="O235" s="144">
        <v>3.0</v>
      </c>
      <c r="P235" s="144">
        <v>1.0</v>
      </c>
      <c r="Q235" s="122"/>
      <c r="R235" s="223">
        <v>4.0</v>
      </c>
      <c r="S235" s="147">
        <f>IF(SUM(Rankings!$K235:$R235)&gt;0, COUNTIFS(Rankings!$D$2:$D$987, Rankings!$D235, Rankings!$F$2:$F$987, "&lt;"&amp;Rankings!$F235) + COUNTIFS(Rankings!$D$2:$D$987, Rankings!$D235, Rankings!$F$2:$F$987, Rankings!$F235, Rankings!$G$2:$G$987, "&lt;"&amp;Rankings!$G235)+1, "TBD")</f>
        <v>1</v>
      </c>
      <c r="T235" s="225">
        <v>1.0</v>
      </c>
      <c r="U235" s="225" t="b">
        <f>Rankings!$S235=Rankings!$T235</f>
        <v>1</v>
      </c>
      <c r="V235" s="226"/>
      <c r="W235" s="153"/>
    </row>
    <row r="236" ht="15.0" customHeight="1">
      <c r="A236" s="134"/>
      <c r="B236" s="134"/>
      <c r="C236" s="134"/>
      <c r="D236" s="219">
        <f>D233</f>
        <v>45985</v>
      </c>
      <c r="E236" s="227" t="str">
        <f>$N$1</f>
        <v>Rosey</v>
      </c>
      <c r="F236" s="220">
        <f>IFERROR(AVERAGE(Rankings!$K236:$R236), "TBD")</f>
        <v>3.857142857</v>
      </c>
      <c r="G236" s="220">
        <f>IFERROR(_xlfn.STDEV.P(Rankings!$K236:$R236), "TBD")</f>
        <v>1.807015806</v>
      </c>
      <c r="H236" s="221">
        <f>IFERROR(AVERAGE(Rankings!$K236:$M236, Rankings!$O236:$R236), "TBD")</f>
        <v>4.166666667</v>
      </c>
      <c r="I236" s="222" t="s">
        <v>831</v>
      </c>
      <c r="J236" s="222" t="s">
        <v>832</v>
      </c>
      <c r="K236" s="143">
        <v>1.0</v>
      </c>
      <c r="L236" s="144">
        <v>4.0</v>
      </c>
      <c r="M236" s="144">
        <v>4.0</v>
      </c>
      <c r="N236" s="144">
        <v>2.0</v>
      </c>
      <c r="O236" s="144">
        <v>5.0</v>
      </c>
      <c r="P236" s="144">
        <v>4.0</v>
      </c>
      <c r="Q236" s="122"/>
      <c r="R236" s="223">
        <v>7.0</v>
      </c>
      <c r="S236" s="147">
        <f>IF(SUM(Rankings!$K236:$R236)&gt;0, COUNTIFS(Rankings!$D$2:$D$987, Rankings!$D236, Rankings!$F$2:$F$987, "&lt;"&amp;Rankings!$F236) + COUNTIFS(Rankings!$D$2:$D$987, Rankings!$D236, Rankings!$F$2:$F$987, Rankings!$F236, Rankings!$G$2:$G$987, "&lt;"&amp;Rankings!$G236)+1, "TBD")</f>
        <v>4</v>
      </c>
      <c r="T236" s="225">
        <v>1.0</v>
      </c>
      <c r="U236" s="225" t="b">
        <f>Rankings!$S236=Rankings!$T236</f>
        <v>0</v>
      </c>
      <c r="V236" s="226"/>
      <c r="W236" s="153"/>
    </row>
    <row r="237" ht="15.0" customHeight="1">
      <c r="A237" s="134"/>
      <c r="B237" s="134"/>
      <c r="C237" s="134"/>
      <c r="D237" s="219">
        <f t="shared" ref="D237:D239" si="34">D233</f>
        <v>45985</v>
      </c>
      <c r="E237" s="227" t="str">
        <f>$O$1</f>
        <v>TTAC</v>
      </c>
      <c r="F237" s="220">
        <f>IFERROR(AVERAGE(Rankings!$K237:$R237), "TBD")</f>
        <v>4</v>
      </c>
      <c r="G237" s="220">
        <f>IFERROR(_xlfn.STDEV.P(Rankings!$K237:$R237), "TBD")</f>
        <v>1.414213562</v>
      </c>
      <c r="H237" s="221">
        <f>IFERROR(AVERAGE(Rankings!$K237:$N237, Rankings!$P237:$R237), "TBD")</f>
        <v>4.5</v>
      </c>
      <c r="I237" s="222" t="s">
        <v>833</v>
      </c>
      <c r="J237" s="222" t="s">
        <v>834</v>
      </c>
      <c r="K237" s="143">
        <v>3.0</v>
      </c>
      <c r="L237" s="144">
        <v>5.0</v>
      </c>
      <c r="M237" s="144">
        <v>5.0</v>
      </c>
      <c r="N237" s="144">
        <v>4.0</v>
      </c>
      <c r="O237" s="144">
        <v>1.0</v>
      </c>
      <c r="P237" s="144">
        <v>5.0</v>
      </c>
      <c r="Q237" s="122"/>
      <c r="R237" s="223">
        <v>5.0</v>
      </c>
      <c r="S237" s="147">
        <f>IF(SUM(Rankings!$K237:$R237)&gt;0, COUNTIFS(Rankings!$D$2:$D$987, Rankings!$D237, Rankings!$F$2:$F$987, "&lt;"&amp;Rankings!$F237) + COUNTIFS(Rankings!$D$2:$D$987, Rankings!$D237, Rankings!$F$2:$F$987, Rankings!$F237, Rankings!$G$2:$G$987, "&lt;"&amp;Rankings!$G237)+1, "TBD")</f>
        <v>5</v>
      </c>
      <c r="T237" s="225">
        <v>1.0</v>
      </c>
      <c r="U237" s="225" t="b">
        <f>Rankings!$S237=Rankings!$T237</f>
        <v>0</v>
      </c>
      <c r="V237" s="226"/>
      <c r="W237" s="153"/>
    </row>
    <row r="238" ht="15.0" customHeight="1">
      <c r="A238" s="134"/>
      <c r="B238" s="134"/>
      <c r="C238" s="134"/>
      <c r="D238" s="219">
        <f t="shared" si="34"/>
        <v>45985</v>
      </c>
      <c r="E238" s="227" t="str">
        <f>$P$1</f>
        <v>Weston</v>
      </c>
      <c r="F238" s="220">
        <f>IFERROR(AVERAGE(Rankings!$K238:$R238), "TBD")</f>
        <v>3.285714286</v>
      </c>
      <c r="G238" s="220">
        <f>IFERROR(_xlfn.STDEV.P(Rankings!$K238:$R238), "TBD")</f>
        <v>2.050385728</v>
      </c>
      <c r="H238" s="221">
        <f>IFERROR(AVERAGE(Rankings!$K238:$O238, Rankings!$R238), "TBD")</f>
        <v>3.5</v>
      </c>
      <c r="I238" s="222" t="s">
        <v>835</v>
      </c>
      <c r="J238" s="222" t="s">
        <v>836</v>
      </c>
      <c r="K238" s="143">
        <v>5.0</v>
      </c>
      <c r="L238" s="144">
        <v>3.0</v>
      </c>
      <c r="M238" s="144">
        <v>1.0</v>
      </c>
      <c r="N238" s="144">
        <v>7.0</v>
      </c>
      <c r="O238" s="144">
        <v>4.0</v>
      </c>
      <c r="P238" s="144">
        <v>2.0</v>
      </c>
      <c r="Q238" s="122"/>
      <c r="R238" s="223">
        <v>1.0</v>
      </c>
      <c r="S238" s="147">
        <f>IF(SUM(Rankings!$K238:$R238)&gt;0, COUNTIFS(Rankings!$D$2:$D$987, Rankings!$D238, Rankings!$F$2:$F$987, "&lt;"&amp;Rankings!$F238) + COUNTIFS(Rankings!$D$2:$D$987, Rankings!$D238, Rankings!$F$2:$F$987, Rankings!$F238, Rankings!$G$2:$G$987, "&lt;"&amp;Rankings!$G238)+1, "TBD")</f>
        <v>3</v>
      </c>
      <c r="T238" s="225">
        <v>1.0</v>
      </c>
      <c r="U238" s="225" t="b">
        <f>Rankings!$S238=Rankings!$T238</f>
        <v>0</v>
      </c>
      <c r="V238" s="226"/>
      <c r="W238" s="153"/>
    </row>
    <row r="239" ht="15.0" customHeight="1">
      <c r="A239" s="189"/>
      <c r="B239" s="189"/>
      <c r="C239" s="189"/>
      <c r="D239" s="235">
        <f t="shared" si="34"/>
        <v>45985</v>
      </c>
      <c r="E239" s="237" t="str">
        <f>$R$1</f>
        <v>Jake</v>
      </c>
      <c r="F239" s="240">
        <f>IFERROR(AVERAGE(Rankings!$K239:$R239), "TBD")</f>
        <v>4.714285714</v>
      </c>
      <c r="G239" s="240">
        <f>IFERROR(_xlfn.STDEV.P(Rankings!$K239:$R239), "TBD")</f>
        <v>2.249716535</v>
      </c>
      <c r="H239" s="242">
        <f>IFERROR(AVERAGE(Rankings!$K239:$P239), "TBD")</f>
        <v>5.166666667</v>
      </c>
      <c r="I239" s="243" t="s">
        <v>837</v>
      </c>
      <c r="J239" s="243" t="s">
        <v>838</v>
      </c>
      <c r="K239" s="199">
        <v>4.0</v>
      </c>
      <c r="L239" s="201">
        <v>6.0</v>
      </c>
      <c r="M239" s="201">
        <v>6.0</v>
      </c>
      <c r="N239" s="201">
        <v>1.0</v>
      </c>
      <c r="O239" s="201">
        <v>7.0</v>
      </c>
      <c r="P239" s="201">
        <v>7.0</v>
      </c>
      <c r="Q239" s="122"/>
      <c r="R239" s="244">
        <v>2.0</v>
      </c>
      <c r="S239" s="203">
        <f>IF(SUM(Rankings!$K239:$R239)&gt;0, COUNTIFS(Rankings!$D$2:$D$987, Rankings!$D239, Rankings!$F$2:$F$987, "&lt;"&amp;Rankings!$F239) + COUNTIFS(Rankings!$D$2:$D$987, Rankings!$D239, Rankings!$F$2:$F$987, Rankings!$F239, Rankings!$G$2:$G$987, "&lt;"&amp;Rankings!$G239)+1, "TBD")</f>
        <v>6</v>
      </c>
      <c r="T239" s="247">
        <v>1.0</v>
      </c>
      <c r="U239" s="247" t="b">
        <f>Rankings!$S239=Rankings!$T239</f>
        <v>0</v>
      </c>
      <c r="V239" s="248"/>
      <c r="W239" s="208"/>
    </row>
    <row r="240" ht="15.0" customHeight="1">
      <c r="A240" s="103">
        <v>45987.0</v>
      </c>
      <c r="B240" s="104"/>
      <c r="C240" s="104" t="str">
        <f t="array" ref="C240">INDEX(Rankings!$E240:$E246, MATCH(1, (Rankings!$D240:$D246=$A240)*(Rankings!$U240:$U246=TRUE()), 0))</f>
        <v>Weston</v>
      </c>
      <c r="D240" s="111">
        <f>A240</f>
        <v>45987</v>
      </c>
      <c r="E240" s="113" t="str">
        <f>$K$1</f>
        <v>Logan</v>
      </c>
      <c r="F240" s="115">
        <f>IFERROR(AVERAGE(Rankings!$K240:$R240), "TBD")</f>
        <v>5</v>
      </c>
      <c r="G240" s="115">
        <f>IFERROR(_xlfn.STDEV.P(Rankings!$K240:$R240), "TBD")</f>
        <v>1.511857892</v>
      </c>
      <c r="H240" s="117">
        <f>IFERROR(AVERAGE(Rankings!$L240:$R240), "TBD")</f>
        <v>5</v>
      </c>
      <c r="I240" s="119" t="s">
        <v>839</v>
      </c>
      <c r="J240" s="119" t="s">
        <v>840</v>
      </c>
      <c r="K240" s="120">
        <v>5.0</v>
      </c>
      <c r="L240" s="121">
        <v>2.0</v>
      </c>
      <c r="M240" s="121">
        <v>4.0</v>
      </c>
      <c r="N240" s="121">
        <v>6.0</v>
      </c>
      <c r="O240" s="121">
        <v>5.0</v>
      </c>
      <c r="P240" s="121">
        <v>6.0</v>
      </c>
      <c r="Q240" s="122"/>
      <c r="R240" s="216">
        <v>7.0</v>
      </c>
      <c r="S240" s="126">
        <f>IF(SUM(Rankings!$K240:$R240)&gt;0, COUNTIFS(Rankings!$D$2:$D$987, Rankings!$D240, Rankings!$F$2:$F$987, "&lt;"&amp;Rankings!$F240) + COUNTIFS(Rankings!$D$2:$D$987, Rankings!$D240, Rankings!$F$2:$F$987, Rankings!$F240, Rankings!$G$2:$G$987, "&lt;"&amp;Rankings!$G240)+1, "TBD")</f>
        <v>6</v>
      </c>
      <c r="T240" s="217">
        <v>1.0</v>
      </c>
      <c r="U240" s="217" t="b">
        <f>Rankings!$S240=Rankings!$T240</f>
        <v>0</v>
      </c>
      <c r="V240" s="133"/>
      <c r="W240" s="133"/>
    </row>
    <row r="241" ht="15.0" customHeight="1">
      <c r="A241" s="134"/>
      <c r="B241" s="134"/>
      <c r="C241" s="134"/>
      <c r="D241" s="219">
        <f>D240</f>
        <v>45987</v>
      </c>
      <c r="E241" s="138" t="str">
        <f>$L$1</f>
        <v>Parker</v>
      </c>
      <c r="F241" s="220">
        <f>IFERROR(AVERAGE(Rankings!$K241:$R241), "TBD")</f>
        <v>5.142857143</v>
      </c>
      <c r="G241" s="220">
        <f>IFERROR(_xlfn.STDEV.P(Rankings!$K241:$R241), "TBD")</f>
        <v>1.456862718</v>
      </c>
      <c r="H241" s="221">
        <f>IFERROR(AVERAGE(Rankings!$K241, Rankings!$M241:$R241), "TBD")</f>
        <v>5.166666667</v>
      </c>
      <c r="I241" s="222" t="s">
        <v>841</v>
      </c>
      <c r="J241" s="222" t="s">
        <v>842</v>
      </c>
      <c r="K241" s="143">
        <v>4.0</v>
      </c>
      <c r="L241" s="144">
        <v>5.0</v>
      </c>
      <c r="M241" s="144">
        <v>6.0</v>
      </c>
      <c r="N241" s="144">
        <v>4.0</v>
      </c>
      <c r="O241" s="144">
        <v>7.0</v>
      </c>
      <c r="P241" s="144">
        <v>7.0</v>
      </c>
      <c r="Q241" s="122"/>
      <c r="R241" s="223">
        <v>3.0</v>
      </c>
      <c r="S241" s="147">
        <f>IF(SUM(Rankings!$K241:$R241)&gt;0, COUNTIFS(Rankings!$D$2:$D$987, Rankings!$D241, Rankings!$F$2:$F$987, "&lt;"&amp;Rankings!$F241) + COUNTIFS(Rankings!$D$2:$D$987, Rankings!$D241, Rankings!$F$2:$F$987, Rankings!$F241, Rankings!$G$2:$G$987, "&lt;"&amp;Rankings!$G241)+1, "TBD")</f>
        <v>7</v>
      </c>
      <c r="T241" s="225">
        <v>1.0</v>
      </c>
      <c r="U241" s="225" t="b">
        <f>Rankings!$S241=Rankings!$T241</f>
        <v>0</v>
      </c>
      <c r="V241" s="226"/>
      <c r="W241" s="153"/>
    </row>
    <row r="242" ht="15.0" customHeight="1">
      <c r="A242" s="134"/>
      <c r="B242" s="134"/>
      <c r="C242" s="134"/>
      <c r="D242" s="219">
        <f>D240</f>
        <v>45987</v>
      </c>
      <c r="E242" s="227" t="str">
        <f>$M$1</f>
        <v>Giacomo</v>
      </c>
      <c r="F242" s="220">
        <f>IFERROR(AVERAGE(Rankings!$K242:$R242), "TBD")</f>
        <v>3.714285714</v>
      </c>
      <c r="G242" s="220">
        <f>IFERROR(_xlfn.STDEV.P(Rankings!$K242:$R242), "TBD")</f>
        <v>1.979486637</v>
      </c>
      <c r="H242" s="221">
        <f>IFERROR(AVERAGE(Rankings!$K242:$L242, Rankings!$N242:$R242), "TBD")</f>
        <v>4.166666667</v>
      </c>
      <c r="I242" s="222" t="s">
        <v>843</v>
      </c>
      <c r="J242" s="222" t="s">
        <v>844</v>
      </c>
      <c r="K242" s="143">
        <v>6.0</v>
      </c>
      <c r="L242" s="144">
        <v>3.0</v>
      </c>
      <c r="M242" s="144">
        <v>1.0</v>
      </c>
      <c r="N242" s="144">
        <v>7.0</v>
      </c>
      <c r="O242" s="144">
        <v>2.0</v>
      </c>
      <c r="P242" s="144">
        <v>3.0</v>
      </c>
      <c r="Q242" s="122"/>
      <c r="R242" s="223">
        <v>4.0</v>
      </c>
      <c r="S242" s="147">
        <f>IF(SUM(Rankings!$K242:$R242)&gt;0, COUNTIFS(Rankings!$D$2:$D$987, Rankings!$D242, Rankings!$F$2:$F$987, "&lt;"&amp;Rankings!$F242) + COUNTIFS(Rankings!$D$2:$D$987, Rankings!$D242, Rankings!$F$2:$F$987, Rankings!$F242, Rankings!$G$2:$G$987, "&lt;"&amp;Rankings!$G242)+1, "TBD")</f>
        <v>3</v>
      </c>
      <c r="T242" s="225">
        <v>1.0</v>
      </c>
      <c r="U242" s="225" t="b">
        <f>Rankings!$S242=Rankings!$T242</f>
        <v>0</v>
      </c>
      <c r="V242" s="226"/>
      <c r="W242" s="153"/>
    </row>
    <row r="243" ht="15.0" customHeight="1">
      <c r="A243" s="134"/>
      <c r="B243" s="134"/>
      <c r="C243" s="134"/>
      <c r="D243" s="219">
        <f>D240</f>
        <v>45987</v>
      </c>
      <c r="E243" s="227" t="str">
        <f>$N$1</f>
        <v>Rosey</v>
      </c>
      <c r="F243" s="220">
        <f>IFERROR(AVERAGE(Rankings!$K243:$R243), "TBD")</f>
        <v>3.714285714</v>
      </c>
      <c r="G243" s="220">
        <f>IFERROR(_xlfn.STDEV.P(Rankings!$K243:$R243), "TBD")</f>
        <v>2.602981023</v>
      </c>
      <c r="H243" s="221">
        <f>IFERROR(AVERAGE(Rankings!$K243:$M243, Rankings!$O243:$R243), "TBD")</f>
        <v>4.166666667</v>
      </c>
      <c r="I243" s="222" t="s">
        <v>845</v>
      </c>
      <c r="J243" s="222" t="s">
        <v>846</v>
      </c>
      <c r="K243" s="143">
        <v>2.0</v>
      </c>
      <c r="L243" s="144">
        <v>7.0</v>
      </c>
      <c r="M243" s="144">
        <v>7.0</v>
      </c>
      <c r="N243" s="144">
        <v>1.0</v>
      </c>
      <c r="O243" s="144">
        <v>1.0</v>
      </c>
      <c r="P243" s="144">
        <v>2.0</v>
      </c>
      <c r="Q243" s="122"/>
      <c r="R243" s="223">
        <v>6.0</v>
      </c>
      <c r="S243" s="147">
        <f>IF(SUM(Rankings!$K243:$R243)&gt;0, COUNTIFS(Rankings!$D$2:$D$987, Rankings!$D243, Rankings!$F$2:$F$987, "&lt;"&amp;Rankings!$F243) + COUNTIFS(Rankings!$D$2:$D$987, Rankings!$D243, Rankings!$F$2:$F$987, Rankings!$F243, Rankings!$G$2:$G$987, "&lt;"&amp;Rankings!$G243)+1, "TBD")</f>
        <v>5</v>
      </c>
      <c r="T243" s="225">
        <v>1.0</v>
      </c>
      <c r="U243" s="225" t="b">
        <f>Rankings!$S243=Rankings!$T243</f>
        <v>0</v>
      </c>
      <c r="V243" s="226"/>
      <c r="W243" s="153"/>
    </row>
    <row r="244" ht="15.0" customHeight="1">
      <c r="A244" s="134"/>
      <c r="B244" s="134"/>
      <c r="C244" s="134"/>
      <c r="D244" s="219">
        <f t="shared" ref="D244:D246" si="35">D240</f>
        <v>45987</v>
      </c>
      <c r="E244" s="227" t="str">
        <f>$O$1</f>
        <v>TTAC</v>
      </c>
      <c r="F244" s="220">
        <f>IFERROR(AVERAGE(Rankings!$K244:$R244), "TBD")</f>
        <v>3.571428571</v>
      </c>
      <c r="G244" s="220">
        <f>IFERROR(_xlfn.STDEV.P(Rankings!$K244:$R244), "TBD")</f>
        <v>1.761261144</v>
      </c>
      <c r="H244" s="221">
        <f>IFERROR(AVERAGE(Rankings!$K244:$N244, Rankings!$P244:$R244), "TBD")</f>
        <v>3.666666667</v>
      </c>
      <c r="I244" s="222" t="s">
        <v>847</v>
      </c>
      <c r="J244" s="222" t="s">
        <v>848</v>
      </c>
      <c r="K244" s="143">
        <v>1.0</v>
      </c>
      <c r="L244" s="144">
        <v>1.0</v>
      </c>
      <c r="M244" s="144">
        <v>5.0</v>
      </c>
      <c r="N244" s="144">
        <v>5.0</v>
      </c>
      <c r="O244" s="144">
        <v>3.0</v>
      </c>
      <c r="P244" s="144">
        <v>5.0</v>
      </c>
      <c r="Q244" s="122"/>
      <c r="R244" s="223">
        <v>5.0</v>
      </c>
      <c r="S244" s="147">
        <f>IF(SUM(Rankings!$K244:$R244)&gt;0, COUNTIFS(Rankings!$D$2:$D$987, Rankings!$D244, Rankings!$F$2:$F$987, "&lt;"&amp;Rankings!$F244) + COUNTIFS(Rankings!$D$2:$D$987, Rankings!$D244, Rankings!$F$2:$F$987, Rankings!$F244, Rankings!$G$2:$G$987, "&lt;"&amp;Rankings!$G244)+1, "TBD")</f>
        <v>2</v>
      </c>
      <c r="T244" s="225">
        <v>1.0</v>
      </c>
      <c r="U244" s="225" t="b">
        <f>Rankings!$S244=Rankings!$T244</f>
        <v>0</v>
      </c>
      <c r="V244" s="226"/>
      <c r="W244" s="153"/>
    </row>
    <row r="245" ht="15.0" customHeight="1">
      <c r="A245" s="134"/>
      <c r="B245" s="134"/>
      <c r="C245" s="134"/>
      <c r="D245" s="219">
        <f t="shared" si="35"/>
        <v>45987</v>
      </c>
      <c r="E245" s="227" t="str">
        <f>$P$1</f>
        <v>Weston</v>
      </c>
      <c r="F245" s="220">
        <f>IFERROR(AVERAGE(Rankings!$K245:$R245), "TBD")</f>
        <v>3.142857143</v>
      </c>
      <c r="G245" s="220">
        <f>IFERROR(_xlfn.STDEV.P(Rankings!$K245:$R245), "TBD")</f>
        <v>1.456862718</v>
      </c>
      <c r="H245" s="221">
        <f>IFERROR(AVERAGE(Rankings!$K245:$O245, Rankings!$R245), "TBD")</f>
        <v>3.5</v>
      </c>
      <c r="I245" s="222" t="s">
        <v>503</v>
      </c>
      <c r="J245" s="222" t="s">
        <v>504</v>
      </c>
      <c r="K245" s="143">
        <v>3.0</v>
      </c>
      <c r="L245" s="144">
        <v>4.0</v>
      </c>
      <c r="M245" s="144">
        <v>3.0</v>
      </c>
      <c r="N245" s="144">
        <v>3.0</v>
      </c>
      <c r="O245" s="144">
        <v>6.0</v>
      </c>
      <c r="P245" s="144">
        <v>1.0</v>
      </c>
      <c r="Q245" s="122"/>
      <c r="R245" s="223">
        <v>2.0</v>
      </c>
      <c r="S245" s="147">
        <f>IF(SUM(Rankings!$K245:$R245)&gt;0, COUNTIFS(Rankings!$D$2:$D$987, Rankings!$D245, Rankings!$F$2:$F$987, "&lt;"&amp;Rankings!$F245) + COUNTIFS(Rankings!$D$2:$D$987, Rankings!$D245, Rankings!$F$2:$F$987, Rankings!$F245, Rankings!$G$2:$G$987, "&lt;"&amp;Rankings!$G245)+1, "TBD")</f>
        <v>1</v>
      </c>
      <c r="T245" s="225">
        <v>1.0</v>
      </c>
      <c r="U245" s="225" t="b">
        <f>Rankings!$S245=Rankings!$T245</f>
        <v>1</v>
      </c>
      <c r="V245" s="226"/>
      <c r="W245" s="153"/>
    </row>
    <row r="246" ht="15.0" customHeight="1">
      <c r="A246" s="189"/>
      <c r="B246" s="189"/>
      <c r="C246" s="189"/>
      <c r="D246" s="235">
        <f t="shared" si="35"/>
        <v>45987</v>
      </c>
      <c r="E246" s="237" t="str">
        <f>$R$1</f>
        <v>Jake</v>
      </c>
      <c r="F246" s="240">
        <f>IFERROR(AVERAGE(Rankings!$K246:$R246), "TBD")</f>
        <v>3.714285714</v>
      </c>
      <c r="G246" s="240">
        <f>IFERROR(_xlfn.STDEV.P(Rankings!$K246:$R246), "TBD")</f>
        <v>2.050385728</v>
      </c>
      <c r="H246" s="242">
        <f>IFERROR(AVERAGE(Rankings!$K246:$P246), "TBD")</f>
        <v>4.166666667</v>
      </c>
      <c r="I246" s="243" t="s">
        <v>849</v>
      </c>
      <c r="J246" s="243" t="s">
        <v>850</v>
      </c>
      <c r="K246" s="199">
        <v>7.0</v>
      </c>
      <c r="L246" s="201">
        <v>6.0</v>
      </c>
      <c r="M246" s="201">
        <v>2.0</v>
      </c>
      <c r="N246" s="201">
        <v>2.0</v>
      </c>
      <c r="O246" s="201">
        <v>4.0</v>
      </c>
      <c r="P246" s="201">
        <v>4.0</v>
      </c>
      <c r="Q246" s="122"/>
      <c r="R246" s="244">
        <v>1.0</v>
      </c>
      <c r="S246" s="203">
        <f>IF(SUM(Rankings!$K246:$R246)&gt;0, COUNTIFS(Rankings!$D$2:$D$987, Rankings!$D246, Rankings!$F$2:$F$987, "&lt;"&amp;Rankings!$F246) + COUNTIFS(Rankings!$D$2:$D$987, Rankings!$D246, Rankings!$F$2:$F$987, Rankings!$F246, Rankings!$G$2:$G$987, "&lt;"&amp;Rankings!$G246)+1, "TBD")</f>
        <v>4</v>
      </c>
      <c r="T246" s="247">
        <v>1.0</v>
      </c>
      <c r="U246" s="247" t="b">
        <f>Rankings!$S246=Rankings!$T246</f>
        <v>0</v>
      </c>
      <c r="V246" s="248"/>
      <c r="W246" s="208"/>
    </row>
    <row r="247" ht="15.0" customHeight="1">
      <c r="A247" s="103">
        <v>45989.0</v>
      </c>
      <c r="B247" s="104"/>
      <c r="C247" s="104" t="str">
        <f t="array" ref="C247">INDEX(Rankings!$E247:$E253, MATCH(1, (Rankings!$D247:$D253=$A247)*(Rankings!$U247:$U253=TRUE()), 0))</f>
        <v>Rosey</v>
      </c>
      <c r="D247" s="111">
        <f>A247</f>
        <v>45989</v>
      </c>
      <c r="E247" s="113" t="str">
        <f>$K$1</f>
        <v>Logan</v>
      </c>
      <c r="F247" s="115">
        <f>IFERROR(AVERAGE(Rankings!$K247:$R247), "TBD")</f>
        <v>3.285714286</v>
      </c>
      <c r="G247" s="115">
        <f>IFERROR(_xlfn.STDEV.P(Rankings!$K247:$R247), "TBD")</f>
        <v>1.577908717</v>
      </c>
      <c r="H247" s="117">
        <f>IFERROR(AVERAGE(Rankings!$L247:$R247), "TBD")</f>
        <v>3.5</v>
      </c>
      <c r="I247" s="119" t="s">
        <v>851</v>
      </c>
      <c r="J247" s="119" t="s">
        <v>852</v>
      </c>
      <c r="K247" s="120">
        <v>2.0</v>
      </c>
      <c r="L247" s="121">
        <v>2.0</v>
      </c>
      <c r="M247" s="121">
        <v>2.0</v>
      </c>
      <c r="N247" s="121">
        <v>5.0</v>
      </c>
      <c r="O247" s="121">
        <v>2.0</v>
      </c>
      <c r="P247" s="121">
        <v>4.0</v>
      </c>
      <c r="Q247" s="122"/>
      <c r="R247" s="216">
        <v>6.0</v>
      </c>
      <c r="S247" s="126">
        <f>IF(SUM(Rankings!$K247:$R247)&gt;0, COUNTIFS(Rankings!$D$2:$D$987, Rankings!$D247, Rankings!$F$2:$F$987, "&lt;"&amp;Rankings!$F247) + COUNTIFS(Rankings!$D$2:$D$987, Rankings!$D247, Rankings!$F$2:$F$987, Rankings!$F247, Rankings!$G$2:$G$987, "&lt;"&amp;Rankings!$G247)+1, "TBD")</f>
        <v>2</v>
      </c>
      <c r="T247" s="217">
        <v>1.0</v>
      </c>
      <c r="U247" s="217" t="b">
        <f>Rankings!$S247=Rankings!$T247</f>
        <v>0</v>
      </c>
      <c r="V247" s="329"/>
      <c r="W247" s="329" t="s">
        <v>853</v>
      </c>
    </row>
    <row r="248" ht="15.0" customHeight="1">
      <c r="A248" s="134"/>
      <c r="B248" s="134"/>
      <c r="C248" s="134"/>
      <c r="D248" s="219">
        <f>D247</f>
        <v>45989</v>
      </c>
      <c r="E248" s="138" t="str">
        <f>$L$1</f>
        <v>Parker</v>
      </c>
      <c r="F248" s="220">
        <f>IFERROR(AVERAGE(Rankings!$K248:$R248), "TBD")</f>
        <v>4.571428571</v>
      </c>
      <c r="G248" s="220">
        <f>IFERROR(_xlfn.STDEV.P(Rankings!$K248:$R248), "TBD")</f>
        <v>1.916629695</v>
      </c>
      <c r="H248" s="221">
        <f>IFERROR(AVERAGE(Rankings!$K248, Rankings!$M248:$R248), "TBD")</f>
        <v>4.833333333</v>
      </c>
      <c r="I248" s="222" t="s">
        <v>854</v>
      </c>
      <c r="J248" s="222" t="s">
        <v>855</v>
      </c>
      <c r="K248" s="143">
        <v>6.0</v>
      </c>
      <c r="L248" s="144">
        <v>3.0</v>
      </c>
      <c r="M248" s="144">
        <v>4.0</v>
      </c>
      <c r="N248" s="144">
        <v>6.0</v>
      </c>
      <c r="O248" s="144">
        <v>1.0</v>
      </c>
      <c r="P248" s="144">
        <v>7.0</v>
      </c>
      <c r="Q248" s="122"/>
      <c r="R248" s="223">
        <v>5.0</v>
      </c>
      <c r="S248" s="147">
        <f>IF(SUM(Rankings!$K248:$R248)&gt;0, COUNTIFS(Rankings!$D$2:$D$987, Rankings!$D248, Rankings!$F$2:$F$987, "&lt;"&amp;Rankings!$F248) + COUNTIFS(Rankings!$D$2:$D$987, Rankings!$D248, Rankings!$F$2:$F$987, Rankings!$F248, Rankings!$G$2:$G$987, "&lt;"&amp;Rankings!$G248)+1, "TBD")</f>
        <v>6</v>
      </c>
      <c r="T248" s="225">
        <v>1.0</v>
      </c>
      <c r="U248" s="225" t="b">
        <f>Rankings!$S248=Rankings!$T248</f>
        <v>0</v>
      </c>
      <c r="V248" s="330"/>
      <c r="W248" s="153"/>
    </row>
    <row r="249" ht="15.0" customHeight="1">
      <c r="A249" s="134"/>
      <c r="B249" s="134"/>
      <c r="C249" s="134"/>
      <c r="D249" s="219">
        <f>D247</f>
        <v>45989</v>
      </c>
      <c r="E249" s="227" t="str">
        <f>$M$1</f>
        <v>Giacomo</v>
      </c>
      <c r="F249" s="220">
        <f>IFERROR(AVERAGE(Rankings!$K249:$R249), "TBD")</f>
        <v>5.142857143</v>
      </c>
      <c r="G249" s="220">
        <f>IFERROR(_xlfn.STDEV.P(Rankings!$K249:$R249), "TBD")</f>
        <v>2.166535841</v>
      </c>
      <c r="H249" s="221">
        <f>IFERROR(AVERAGE(Rankings!$K249:$L249, Rankings!$N249:$R249), "TBD")</f>
        <v>5.5</v>
      </c>
      <c r="I249" s="222" t="s">
        <v>856</v>
      </c>
      <c r="J249" s="222" t="s">
        <v>857</v>
      </c>
      <c r="K249" s="143">
        <v>1.0</v>
      </c>
      <c r="L249" s="144">
        <v>5.0</v>
      </c>
      <c r="M249" s="144">
        <v>3.0</v>
      </c>
      <c r="N249" s="144">
        <v>7.0</v>
      </c>
      <c r="O249" s="144">
        <v>7.0</v>
      </c>
      <c r="P249" s="144">
        <v>6.0</v>
      </c>
      <c r="Q249" s="122"/>
      <c r="R249" s="223">
        <v>7.0</v>
      </c>
      <c r="S249" s="147">
        <f>IF(SUM(Rankings!$K249:$R249)&gt;0, COUNTIFS(Rankings!$D$2:$D$987, Rankings!$D249, Rankings!$F$2:$F$987, "&lt;"&amp;Rankings!$F249) + COUNTIFS(Rankings!$D$2:$D$987, Rankings!$D249, Rankings!$F$2:$F$987, Rankings!$F249, Rankings!$G$2:$G$987, "&lt;"&amp;Rankings!$G249)+1, "TBD")</f>
        <v>7</v>
      </c>
      <c r="T249" s="225">
        <v>1.0</v>
      </c>
      <c r="U249" s="225" t="b">
        <f>Rankings!$S249=Rankings!$T249</f>
        <v>0</v>
      </c>
      <c r="V249" s="330"/>
      <c r="W249" s="153"/>
    </row>
    <row r="250" ht="15.0" customHeight="1">
      <c r="A250" s="134"/>
      <c r="B250" s="134"/>
      <c r="C250" s="134"/>
      <c r="D250" s="219">
        <f>D247</f>
        <v>45989</v>
      </c>
      <c r="E250" s="227" t="str">
        <f>$N$1</f>
        <v>Rosey</v>
      </c>
      <c r="F250" s="220">
        <f>IFERROR(AVERAGE(Rankings!$K250:$R250), "TBD")</f>
        <v>2.857142857</v>
      </c>
      <c r="G250" s="220">
        <f>IFERROR(_xlfn.STDEV.P(Rankings!$K250:$R250), "TBD")</f>
        <v>1.641303613</v>
      </c>
      <c r="H250" s="221">
        <f>IFERROR(AVERAGE(Rankings!$K250:$M250, Rankings!$O250:$R250), "TBD")</f>
        <v>3.166666667</v>
      </c>
      <c r="I250" s="222" t="s">
        <v>118</v>
      </c>
      <c r="J250" s="222" t="s">
        <v>507</v>
      </c>
      <c r="K250" s="143">
        <v>4.0</v>
      </c>
      <c r="L250" s="144">
        <v>1.0</v>
      </c>
      <c r="M250" s="144">
        <v>1.0</v>
      </c>
      <c r="N250" s="144">
        <v>1.0</v>
      </c>
      <c r="O250" s="144">
        <v>4.0</v>
      </c>
      <c r="P250" s="144">
        <v>5.0</v>
      </c>
      <c r="Q250" s="122"/>
      <c r="R250" s="223">
        <v>4.0</v>
      </c>
      <c r="S250" s="147">
        <f>IF(SUM(Rankings!$K250:$R250)&gt;0, COUNTIFS(Rankings!$D$2:$D$987, Rankings!$D250, Rankings!$F$2:$F$987, "&lt;"&amp;Rankings!$F250) + COUNTIFS(Rankings!$D$2:$D$987, Rankings!$D250, Rankings!$F$2:$F$987, Rankings!$F250, Rankings!$G$2:$G$987, "&lt;"&amp;Rankings!$G250)+1, "TBD")</f>
        <v>1</v>
      </c>
      <c r="T250" s="225">
        <v>1.0</v>
      </c>
      <c r="U250" s="225" t="b">
        <f>Rankings!$S250=Rankings!$T250</f>
        <v>1</v>
      </c>
      <c r="V250" s="330"/>
      <c r="W250" s="153"/>
    </row>
    <row r="251" ht="15.0" customHeight="1">
      <c r="A251" s="134"/>
      <c r="B251" s="134"/>
      <c r="C251" s="134"/>
      <c r="D251" s="219">
        <f t="shared" ref="D251:D253" si="36">D247</f>
        <v>45989</v>
      </c>
      <c r="E251" s="227" t="str">
        <f>$O$1</f>
        <v>TTAC</v>
      </c>
      <c r="F251" s="220">
        <f>IFERROR(AVERAGE(Rankings!$K251:$R251), "TBD")</f>
        <v>3.857142857</v>
      </c>
      <c r="G251" s="220">
        <f>IFERROR(_xlfn.STDEV.P(Rankings!$K251:$R251), "TBD")</f>
        <v>1.726149425</v>
      </c>
      <c r="H251" s="221">
        <f>IFERROR(AVERAGE(Rankings!$K251:$N251, Rankings!$P251:$R251), "TBD")</f>
        <v>4</v>
      </c>
      <c r="I251" s="222" t="s">
        <v>858</v>
      </c>
      <c r="J251" s="222" t="s">
        <v>859</v>
      </c>
      <c r="K251" s="143">
        <v>3.0</v>
      </c>
      <c r="L251" s="144">
        <v>6.0</v>
      </c>
      <c r="M251" s="144">
        <v>7.0</v>
      </c>
      <c r="N251" s="144">
        <v>3.0</v>
      </c>
      <c r="O251" s="144">
        <v>3.0</v>
      </c>
      <c r="P251" s="144">
        <v>3.0</v>
      </c>
      <c r="Q251" s="122"/>
      <c r="R251" s="223">
        <v>2.0</v>
      </c>
      <c r="S251" s="147">
        <f>IF(SUM(Rankings!$K251:$R251)&gt;0, COUNTIFS(Rankings!$D$2:$D$987, Rankings!$D251, Rankings!$F$2:$F$987, "&lt;"&amp;Rankings!$F251) + COUNTIFS(Rankings!$D$2:$D$987, Rankings!$D251, Rankings!$F$2:$F$987, Rankings!$F251, Rankings!$G$2:$G$987, "&lt;"&amp;Rankings!$G251)+1, "TBD")</f>
        <v>3</v>
      </c>
      <c r="T251" s="225">
        <v>1.0</v>
      </c>
      <c r="U251" s="225" t="b">
        <f>Rankings!$S251=Rankings!$T251</f>
        <v>0</v>
      </c>
      <c r="V251" s="330"/>
      <c r="W251" s="153"/>
    </row>
    <row r="252" ht="15.0" customHeight="1">
      <c r="A252" s="134"/>
      <c r="B252" s="134"/>
      <c r="C252" s="134"/>
      <c r="D252" s="219">
        <f t="shared" si="36"/>
        <v>45989</v>
      </c>
      <c r="E252" s="227" t="str">
        <f>$P$1</f>
        <v>Weston</v>
      </c>
      <c r="F252" s="220">
        <f>IFERROR(AVERAGE(Rankings!$K252:$R252), "TBD")</f>
        <v>4.285714286</v>
      </c>
      <c r="G252" s="220">
        <f>IFERROR(_xlfn.STDEV.P(Rankings!$K252:$R252), "TBD")</f>
        <v>2.602981023</v>
      </c>
      <c r="H252" s="221">
        <f>IFERROR(AVERAGE(Rankings!$K252:$O252, Rankings!$R252), "TBD")</f>
        <v>4.833333333</v>
      </c>
      <c r="I252" s="222" t="s">
        <v>860</v>
      </c>
      <c r="J252" s="222" t="s">
        <v>861</v>
      </c>
      <c r="K252" s="143">
        <v>7.0</v>
      </c>
      <c r="L252" s="144">
        <v>7.0</v>
      </c>
      <c r="M252" s="144">
        <v>6.0</v>
      </c>
      <c r="N252" s="144">
        <v>2.0</v>
      </c>
      <c r="O252" s="144">
        <v>6.0</v>
      </c>
      <c r="P252" s="144">
        <v>1.0</v>
      </c>
      <c r="Q252" s="122"/>
      <c r="R252" s="223">
        <v>1.0</v>
      </c>
      <c r="S252" s="147">
        <f>IF(SUM(Rankings!$K252:$R252)&gt;0, COUNTIFS(Rankings!$D$2:$D$987, Rankings!$D252, Rankings!$F$2:$F$987, "&lt;"&amp;Rankings!$F252) + COUNTIFS(Rankings!$D$2:$D$987, Rankings!$D252, Rankings!$F$2:$F$987, Rankings!$F252, Rankings!$G$2:$G$987, "&lt;"&amp;Rankings!$G252)+1, "TBD")</f>
        <v>5</v>
      </c>
      <c r="T252" s="225">
        <v>1.0</v>
      </c>
      <c r="U252" s="225" t="b">
        <f>Rankings!$S252=Rankings!$T252</f>
        <v>0</v>
      </c>
      <c r="V252" s="330"/>
      <c r="W252" s="153"/>
    </row>
    <row r="253" ht="15.0" customHeight="1">
      <c r="A253" s="189"/>
      <c r="B253" s="189"/>
      <c r="C253" s="189"/>
      <c r="D253" s="235">
        <f t="shared" si="36"/>
        <v>45989</v>
      </c>
      <c r="E253" s="237" t="str">
        <f>$R$1</f>
        <v>Jake</v>
      </c>
      <c r="F253" s="240">
        <f>IFERROR(AVERAGE(Rankings!$K253:$R253), "TBD")</f>
        <v>4</v>
      </c>
      <c r="G253" s="240">
        <f>IFERROR(_xlfn.STDEV.P(Rankings!$K253:$R253), "TBD")</f>
        <v>1.069044968</v>
      </c>
      <c r="H253" s="242">
        <f>IFERROR(AVERAGE(Rankings!$K253:$P253), "TBD")</f>
        <v>4.166666667</v>
      </c>
      <c r="I253" s="243" t="s">
        <v>862</v>
      </c>
      <c r="J253" s="243" t="s">
        <v>863</v>
      </c>
      <c r="K253" s="199">
        <v>5.0</v>
      </c>
      <c r="L253" s="201">
        <v>4.0</v>
      </c>
      <c r="M253" s="201">
        <v>5.0</v>
      </c>
      <c r="N253" s="201">
        <v>4.0</v>
      </c>
      <c r="O253" s="201">
        <v>5.0</v>
      </c>
      <c r="P253" s="201">
        <v>2.0</v>
      </c>
      <c r="Q253" s="122"/>
      <c r="R253" s="244">
        <v>3.0</v>
      </c>
      <c r="S253" s="203">
        <f>IF(SUM(Rankings!$K253:$R253)&gt;0, COUNTIFS(Rankings!$D$2:$D$987, Rankings!$D253, Rankings!$F$2:$F$987, "&lt;"&amp;Rankings!$F253) + COUNTIFS(Rankings!$D$2:$D$987, Rankings!$D253, Rankings!$F$2:$F$987, Rankings!$F253, Rankings!$G$2:$G$987, "&lt;"&amp;Rankings!$G253)+1, "TBD")</f>
        <v>4</v>
      </c>
      <c r="T253" s="247">
        <v>1.0</v>
      </c>
      <c r="U253" s="247" t="b">
        <f>Rankings!$S253=Rankings!$T253</f>
        <v>0</v>
      </c>
      <c r="V253" s="344"/>
      <c r="W253" s="208"/>
    </row>
    <row r="254" ht="15.0" customHeight="1">
      <c r="A254" s="103">
        <v>45992.0</v>
      </c>
      <c r="B254" s="104"/>
      <c r="C254" s="104" t="str">
        <f t="array" ref="C254">INDEX(Rankings!$E254:$E260, MATCH(1, (Rankings!$D254:$D260=$A254)*(Rankings!$U254:$U260=TRUE()), 0))</f>
        <v>Logan</v>
      </c>
      <c r="D254" s="111">
        <f>A254</f>
        <v>45992</v>
      </c>
      <c r="E254" s="113" t="str">
        <f>$K$1</f>
        <v>Logan</v>
      </c>
      <c r="F254" s="115">
        <f>IFERROR(AVERAGE(Rankings!$K254:$R254), "TBD")</f>
        <v>2.285714286</v>
      </c>
      <c r="G254" s="115">
        <f>IFERROR(_xlfn.STDEV.P(Rankings!$K254:$R254), "TBD")</f>
        <v>1.484614978</v>
      </c>
      <c r="H254" s="117">
        <f>IFERROR(AVERAGE(Rankings!$L254:$R254), "TBD")</f>
        <v>2.5</v>
      </c>
      <c r="I254" s="119" t="s">
        <v>528</v>
      </c>
      <c r="J254" s="119" t="s">
        <v>864</v>
      </c>
      <c r="K254" s="120">
        <v>1.0</v>
      </c>
      <c r="L254" s="121">
        <v>2.0</v>
      </c>
      <c r="M254" s="121">
        <v>5.0</v>
      </c>
      <c r="N254" s="121">
        <v>4.0</v>
      </c>
      <c r="O254" s="121">
        <v>1.0</v>
      </c>
      <c r="P254" s="121">
        <v>2.0</v>
      </c>
      <c r="Q254" s="122"/>
      <c r="R254" s="216">
        <v>1.0</v>
      </c>
      <c r="S254" s="126">
        <f>IF(SUM(Rankings!$K254:$R254)&gt;0, COUNTIFS(Rankings!$D$2:$D$987, Rankings!$D254, Rankings!$F$2:$F$987, "&lt;"&amp;Rankings!$F254) + COUNTIFS(Rankings!$D$2:$D$987, Rankings!$D254, Rankings!$F$2:$F$987, Rankings!$F254, Rankings!$G$2:$G$987, "&lt;"&amp;Rankings!$G254)+1, "TBD")</f>
        <v>1</v>
      </c>
      <c r="T254" s="217">
        <v>1.0</v>
      </c>
      <c r="U254" s="217" t="b">
        <f>Rankings!$S254=Rankings!$T254</f>
        <v>1</v>
      </c>
      <c r="V254" s="133"/>
      <c r="W254" s="133"/>
    </row>
    <row r="255" ht="15.0" customHeight="1">
      <c r="A255" s="134"/>
      <c r="B255" s="134"/>
      <c r="C255" s="134"/>
      <c r="D255" s="219">
        <f>D254</f>
        <v>45992</v>
      </c>
      <c r="E255" s="138" t="str">
        <f>$L$1</f>
        <v>Parker</v>
      </c>
      <c r="F255" s="220">
        <f>IFERROR(AVERAGE(Rankings!$K255:$R255), "TBD")</f>
        <v>3.714285714</v>
      </c>
      <c r="G255" s="220">
        <f>IFERROR(_xlfn.STDEV.P(Rankings!$K255:$R255), "TBD")</f>
        <v>1.665986256</v>
      </c>
      <c r="H255" s="221">
        <f>IFERROR(AVERAGE(Rankings!$K255, Rankings!$M255:$R255), "TBD")</f>
        <v>4.166666667</v>
      </c>
      <c r="I255" s="222" t="s">
        <v>865</v>
      </c>
      <c r="J255" s="222" t="s">
        <v>866</v>
      </c>
      <c r="K255" s="143">
        <v>5.0</v>
      </c>
      <c r="L255" s="144">
        <v>1.0</v>
      </c>
      <c r="M255" s="144">
        <v>4.0</v>
      </c>
      <c r="N255" s="144">
        <v>6.0</v>
      </c>
      <c r="O255" s="144">
        <v>2.0</v>
      </c>
      <c r="P255" s="144">
        <v>3.0</v>
      </c>
      <c r="Q255" s="122"/>
      <c r="R255" s="223">
        <v>5.0</v>
      </c>
      <c r="S255" s="147">
        <f>IF(SUM(Rankings!$K255:$R255)&gt;0, COUNTIFS(Rankings!$D$2:$D$987, Rankings!$D255, Rankings!$F$2:$F$987, "&lt;"&amp;Rankings!$F255) + COUNTIFS(Rankings!$D$2:$D$987, Rankings!$D255, Rankings!$F$2:$F$987, Rankings!$F255, Rankings!$G$2:$G$987, "&lt;"&amp;Rankings!$G255)+1, "TBD")</f>
        <v>4</v>
      </c>
      <c r="T255" s="225">
        <v>1.0</v>
      </c>
      <c r="U255" s="225" t="b">
        <f>Rankings!$S255=Rankings!$T255</f>
        <v>0</v>
      </c>
      <c r="V255" s="226"/>
      <c r="W255" s="153"/>
    </row>
    <row r="256" ht="15.0" customHeight="1">
      <c r="A256" s="134"/>
      <c r="B256" s="134"/>
      <c r="C256" s="134"/>
      <c r="D256" s="219">
        <f>D254</f>
        <v>45992</v>
      </c>
      <c r="E256" s="227" t="str">
        <f>$M$1</f>
        <v>Giacomo</v>
      </c>
      <c r="F256" s="220">
        <f>IFERROR(AVERAGE(Rankings!$K256:$R256), "TBD")</f>
        <v>3.285714286</v>
      </c>
      <c r="G256" s="220">
        <f>IFERROR(_xlfn.STDEV.P(Rankings!$K256:$R256), "TBD")</f>
        <v>2.312344865</v>
      </c>
      <c r="H256" s="221">
        <f>IFERROR(AVERAGE(Rankings!$K256:$L256, Rankings!$N256:$R256), "TBD")</f>
        <v>3.666666667</v>
      </c>
      <c r="I256" s="222" t="s">
        <v>867</v>
      </c>
      <c r="J256" s="222" t="s">
        <v>868</v>
      </c>
      <c r="K256" s="143">
        <v>4.0</v>
      </c>
      <c r="L256" s="144">
        <v>3.0</v>
      </c>
      <c r="M256" s="144">
        <v>1.0</v>
      </c>
      <c r="N256" s="144">
        <v>1.0</v>
      </c>
      <c r="O256" s="144">
        <v>6.0</v>
      </c>
      <c r="P256" s="144">
        <v>1.0</v>
      </c>
      <c r="Q256" s="122"/>
      <c r="R256" s="223">
        <v>7.0</v>
      </c>
      <c r="S256" s="147">
        <f>IF(SUM(Rankings!$K256:$R256)&gt;0, COUNTIFS(Rankings!$D$2:$D$987, Rankings!$D256, Rankings!$F$2:$F$987, "&lt;"&amp;Rankings!$F256) + COUNTIFS(Rankings!$D$2:$D$987, Rankings!$D256, Rankings!$F$2:$F$987, Rankings!$F256, Rankings!$G$2:$G$987, "&lt;"&amp;Rankings!$G256)+1, "TBD")</f>
        <v>3</v>
      </c>
      <c r="T256" s="225">
        <v>1.0</v>
      </c>
      <c r="U256" s="225" t="b">
        <f>Rankings!$S256=Rankings!$T256</f>
        <v>0</v>
      </c>
      <c r="V256" s="226"/>
      <c r="W256" s="153"/>
    </row>
    <row r="257" ht="15.0" customHeight="1">
      <c r="A257" s="134"/>
      <c r="B257" s="134"/>
      <c r="C257" s="134"/>
      <c r="D257" s="219">
        <f>D254</f>
        <v>45992</v>
      </c>
      <c r="E257" s="227" t="str">
        <f>$N$1</f>
        <v>Rosey</v>
      </c>
      <c r="F257" s="220">
        <f>IFERROR(AVERAGE(Rankings!$K257:$R257), "TBD")</f>
        <v>3.285714286</v>
      </c>
      <c r="G257" s="220">
        <f>IFERROR(_xlfn.STDEV.P(Rankings!$K257:$R257), "TBD")</f>
        <v>1.27775313</v>
      </c>
      <c r="H257" s="221">
        <f>IFERROR(AVERAGE(Rankings!$K257:$M257, Rankings!$O257:$R257), "TBD")</f>
        <v>3.5</v>
      </c>
      <c r="I257" s="222" t="s">
        <v>869</v>
      </c>
      <c r="J257" s="222" t="s">
        <v>523</v>
      </c>
      <c r="K257" s="143">
        <v>2.0</v>
      </c>
      <c r="L257" s="144">
        <v>5.0</v>
      </c>
      <c r="M257" s="144">
        <v>3.0</v>
      </c>
      <c r="N257" s="144">
        <v>2.0</v>
      </c>
      <c r="O257" s="144">
        <v>4.0</v>
      </c>
      <c r="P257" s="144">
        <v>5.0</v>
      </c>
      <c r="Q257" s="122"/>
      <c r="R257" s="223">
        <v>2.0</v>
      </c>
      <c r="S257" s="147">
        <f>IF(SUM(Rankings!$K257:$R257)&gt;0, COUNTIFS(Rankings!$D$2:$D$987, Rankings!$D257, Rankings!$F$2:$F$987, "&lt;"&amp;Rankings!$F257) + COUNTIFS(Rankings!$D$2:$D$987, Rankings!$D257, Rankings!$F$2:$F$987, Rankings!$F257, Rankings!$G$2:$G$987, "&lt;"&amp;Rankings!$G257)+1, "TBD")</f>
        <v>2</v>
      </c>
      <c r="T257" s="225">
        <v>1.0</v>
      </c>
      <c r="U257" s="225" t="b">
        <f>Rankings!$S257=Rankings!$T257</f>
        <v>0</v>
      </c>
      <c r="V257" s="226"/>
      <c r="W257" s="153"/>
    </row>
    <row r="258" ht="15.0" customHeight="1">
      <c r="A258" s="134"/>
      <c r="B258" s="134"/>
      <c r="C258" s="134"/>
      <c r="D258" s="219">
        <f t="shared" ref="D258:D260" si="37">D254</f>
        <v>45992</v>
      </c>
      <c r="E258" s="227" t="str">
        <f>$O$1</f>
        <v>TTAC</v>
      </c>
      <c r="F258" s="220">
        <f>IFERROR(AVERAGE(Rankings!$K258:$R258), "TBD")</f>
        <v>6.857142857</v>
      </c>
      <c r="G258" s="220">
        <f>IFERROR(_xlfn.STDEV.P(Rankings!$K258:$R258), "TBD")</f>
        <v>0.3499271061</v>
      </c>
      <c r="H258" s="221">
        <f>IFERROR(AVERAGE(Rankings!$K258:$N258, Rankings!$P258:$R258), "TBD")</f>
        <v>6.833333333</v>
      </c>
      <c r="I258" s="222" t="s">
        <v>870</v>
      </c>
      <c r="J258" s="222" t="s">
        <v>871</v>
      </c>
      <c r="K258" s="143">
        <v>7.0</v>
      </c>
      <c r="L258" s="144">
        <v>7.0</v>
      </c>
      <c r="M258" s="144">
        <v>7.0</v>
      </c>
      <c r="N258" s="144">
        <v>7.0</v>
      </c>
      <c r="O258" s="144">
        <v>7.0</v>
      </c>
      <c r="P258" s="144">
        <v>7.0</v>
      </c>
      <c r="Q258" s="122"/>
      <c r="R258" s="223">
        <v>6.0</v>
      </c>
      <c r="S258" s="147">
        <f>IF(SUM(Rankings!$K258:$R258)&gt;0, COUNTIFS(Rankings!$D$2:$D$987, Rankings!$D258, Rankings!$F$2:$F$987, "&lt;"&amp;Rankings!$F258) + COUNTIFS(Rankings!$D$2:$D$987, Rankings!$D258, Rankings!$F$2:$F$987, Rankings!$F258, Rankings!$G$2:$G$987, "&lt;"&amp;Rankings!$G258)+1, "TBD")</f>
        <v>7</v>
      </c>
      <c r="T258" s="225">
        <v>1.0</v>
      </c>
      <c r="U258" s="225" t="b">
        <f>Rankings!$S258=Rankings!$T258</f>
        <v>0</v>
      </c>
      <c r="V258" s="226"/>
      <c r="W258" s="153"/>
    </row>
    <row r="259" ht="15.0" customHeight="1">
      <c r="A259" s="134"/>
      <c r="B259" s="134"/>
      <c r="C259" s="134"/>
      <c r="D259" s="219">
        <f t="shared" si="37"/>
        <v>45992</v>
      </c>
      <c r="E259" s="227" t="str">
        <f>$P$1</f>
        <v>Weston</v>
      </c>
      <c r="F259" s="220">
        <f>IFERROR(AVERAGE(Rankings!$K259:$R259), "TBD")</f>
        <v>4.571428571</v>
      </c>
      <c r="G259" s="220">
        <f>IFERROR(_xlfn.STDEV.P(Rankings!$K259:$R259), "TBD")</f>
        <v>1.049781318</v>
      </c>
      <c r="H259" s="221">
        <f>IFERROR(AVERAGE(Rankings!$K259:$O259, Rankings!$R259), "TBD")</f>
        <v>4.666666667</v>
      </c>
      <c r="I259" s="222" t="s">
        <v>872</v>
      </c>
      <c r="J259" s="222" t="s">
        <v>873</v>
      </c>
      <c r="K259" s="143">
        <v>6.0</v>
      </c>
      <c r="L259" s="144">
        <v>4.0</v>
      </c>
      <c r="M259" s="144">
        <v>6.0</v>
      </c>
      <c r="N259" s="144">
        <v>3.0</v>
      </c>
      <c r="O259" s="144">
        <v>5.0</v>
      </c>
      <c r="P259" s="144">
        <v>4.0</v>
      </c>
      <c r="Q259" s="122"/>
      <c r="R259" s="223">
        <v>4.0</v>
      </c>
      <c r="S259" s="147">
        <f>IF(SUM(Rankings!$K259:$R259)&gt;0, COUNTIFS(Rankings!$D$2:$D$987, Rankings!$D259, Rankings!$F$2:$F$987, "&lt;"&amp;Rankings!$F259) + COUNTIFS(Rankings!$D$2:$D$987, Rankings!$D259, Rankings!$F$2:$F$987, Rankings!$F259, Rankings!$G$2:$G$987, "&lt;"&amp;Rankings!$G259)+1, "TBD")</f>
        <v>6</v>
      </c>
      <c r="T259" s="225">
        <v>1.0</v>
      </c>
      <c r="U259" s="225" t="b">
        <f>Rankings!$S259=Rankings!$T259</f>
        <v>0</v>
      </c>
      <c r="V259" s="226"/>
      <c r="W259" s="153"/>
    </row>
    <row r="260" ht="15.0" customHeight="1">
      <c r="A260" s="189"/>
      <c r="B260" s="189"/>
      <c r="C260" s="189"/>
      <c r="D260" s="235">
        <f t="shared" si="37"/>
        <v>45992</v>
      </c>
      <c r="E260" s="237" t="str">
        <f>$R$1</f>
        <v>Jake</v>
      </c>
      <c r="F260" s="240">
        <f>IFERROR(AVERAGE(Rankings!$K260:$R260), "TBD")</f>
        <v>4</v>
      </c>
      <c r="G260" s="240">
        <f>IFERROR(_xlfn.STDEV.P(Rankings!$K260:$R260), "TBD")</f>
        <v>1.511857892</v>
      </c>
      <c r="H260" s="242">
        <f>IFERROR(AVERAGE(Rankings!$K260:$P260), "TBD")</f>
        <v>4.166666667</v>
      </c>
      <c r="I260" s="243" t="s">
        <v>874</v>
      </c>
      <c r="J260" s="243" t="s">
        <v>875</v>
      </c>
      <c r="K260" s="199">
        <v>3.0</v>
      </c>
      <c r="L260" s="201">
        <v>6.0</v>
      </c>
      <c r="M260" s="201">
        <v>2.0</v>
      </c>
      <c r="N260" s="201">
        <v>5.0</v>
      </c>
      <c r="O260" s="201">
        <v>3.0</v>
      </c>
      <c r="P260" s="201">
        <v>6.0</v>
      </c>
      <c r="Q260" s="122"/>
      <c r="R260" s="244">
        <v>3.0</v>
      </c>
      <c r="S260" s="203">
        <f>IF(SUM(Rankings!$K260:$R260)&gt;0, COUNTIFS(Rankings!$D$2:$D$987, Rankings!$D260, Rankings!$F$2:$F$987, "&lt;"&amp;Rankings!$F260) + COUNTIFS(Rankings!$D$2:$D$987, Rankings!$D260, Rankings!$F$2:$F$987, Rankings!$F260, Rankings!$G$2:$G$987, "&lt;"&amp;Rankings!$G260)+1, "TBD")</f>
        <v>5</v>
      </c>
      <c r="T260" s="247">
        <v>1.0</v>
      </c>
      <c r="U260" s="247" t="b">
        <f>Rankings!$S260=Rankings!$T260</f>
        <v>0</v>
      </c>
      <c r="V260" s="248"/>
      <c r="W260" s="208"/>
    </row>
    <row r="261" ht="15.0" customHeight="1">
      <c r="A261" s="103">
        <v>45994.0</v>
      </c>
      <c r="B261" s="104"/>
      <c r="C261" s="104" t="str">
        <f t="array" ref="C261">INDEX(Rankings!$E261:$E267, MATCH(1, (Rankings!$D261:$D267=$A261)*(Rankings!$U261:$U267=TRUE()), 0))</f>
        <v>Weston</v>
      </c>
      <c r="D261" s="111">
        <f>A261</f>
        <v>45994</v>
      </c>
      <c r="E261" s="113" t="str">
        <f>$K$1</f>
        <v>Logan</v>
      </c>
      <c r="F261" s="115">
        <f>IFERROR(AVERAGE(Rankings!$K261:$R261), "TBD")</f>
        <v>5.428571429</v>
      </c>
      <c r="G261" s="115">
        <f>IFERROR(_xlfn.STDEV.P(Rankings!$K261:$R261), "TBD")</f>
        <v>1.399708424</v>
      </c>
      <c r="H261" s="117">
        <f>IFERROR(AVERAGE(Rankings!$L261:$R261), "TBD")</f>
        <v>5.833333333</v>
      </c>
      <c r="I261" s="119" t="s">
        <v>876</v>
      </c>
      <c r="J261" s="119" t="s">
        <v>877</v>
      </c>
      <c r="K261" s="120">
        <v>3.0</v>
      </c>
      <c r="L261" s="121">
        <v>5.0</v>
      </c>
      <c r="M261" s="121">
        <v>4.0</v>
      </c>
      <c r="N261" s="121">
        <v>6.0</v>
      </c>
      <c r="O261" s="121">
        <v>7.0</v>
      </c>
      <c r="P261" s="121">
        <v>7.0</v>
      </c>
      <c r="Q261" s="122"/>
      <c r="R261" s="216">
        <v>6.0</v>
      </c>
      <c r="S261" s="126">
        <f>IF(SUM(Rankings!$K261:$R261)&gt;0, COUNTIFS(Rankings!$D$2:$D$987, Rankings!$D261, Rankings!$F$2:$F$987, "&lt;"&amp;Rankings!$F261) + COUNTIFS(Rankings!$D$2:$D$987, Rankings!$D261, Rankings!$F$2:$F$987, Rankings!$F261, Rankings!$G$2:$G$987, "&lt;"&amp;Rankings!$G261)+1, "TBD")</f>
        <v>6</v>
      </c>
      <c r="T261" s="217">
        <v>1.0</v>
      </c>
      <c r="U261" s="217" t="b">
        <f>Rankings!$S261=Rankings!$T261</f>
        <v>0</v>
      </c>
      <c r="V261" s="133"/>
      <c r="W261" s="133"/>
    </row>
    <row r="262" ht="15.0" customHeight="1">
      <c r="A262" s="134"/>
      <c r="B262" s="134"/>
      <c r="C262" s="134"/>
      <c r="D262" s="219">
        <f>D261</f>
        <v>45994</v>
      </c>
      <c r="E262" s="138" t="str">
        <f>$L$1</f>
        <v>Parker</v>
      </c>
      <c r="F262" s="220">
        <f>IFERROR(AVERAGE(Rankings!$K262:$R262), "TBD")</f>
        <v>4.428571429</v>
      </c>
      <c r="G262" s="220">
        <f>IFERROR(_xlfn.STDEV.P(Rankings!$K262:$R262), "TBD")</f>
        <v>0.9035079029</v>
      </c>
      <c r="H262" s="221">
        <f>IFERROR(AVERAGE(Rankings!$K262, Rankings!$M262:$R262), "TBD")</f>
        <v>4.5</v>
      </c>
      <c r="I262" s="222" t="s">
        <v>878</v>
      </c>
      <c r="J262" s="222" t="s">
        <v>879</v>
      </c>
      <c r="K262" s="143">
        <v>6.0</v>
      </c>
      <c r="L262" s="144">
        <v>4.0</v>
      </c>
      <c r="M262" s="144">
        <v>3.0</v>
      </c>
      <c r="N262" s="144">
        <v>5.0</v>
      </c>
      <c r="O262" s="144">
        <v>4.0</v>
      </c>
      <c r="P262" s="144">
        <v>5.0</v>
      </c>
      <c r="Q262" s="122"/>
      <c r="R262" s="223">
        <v>4.0</v>
      </c>
      <c r="S262" s="147">
        <f>IF(SUM(Rankings!$K262:$R262)&gt;0, COUNTIFS(Rankings!$D$2:$D$987, Rankings!$D262, Rankings!$F$2:$F$987, "&lt;"&amp;Rankings!$F262) + COUNTIFS(Rankings!$D$2:$D$987, Rankings!$D262, Rankings!$F$2:$F$987, Rankings!$F262, Rankings!$G$2:$G$987, "&lt;"&amp;Rankings!$G262)+1, "TBD")</f>
        <v>5</v>
      </c>
      <c r="T262" s="225">
        <v>1.0</v>
      </c>
      <c r="U262" s="225" t="b">
        <f>Rankings!$S262=Rankings!$T262</f>
        <v>0</v>
      </c>
      <c r="V262" s="226"/>
      <c r="W262" s="153"/>
    </row>
    <row r="263" ht="15.0" customHeight="1">
      <c r="A263" s="134"/>
      <c r="B263" s="134"/>
      <c r="C263" s="134"/>
      <c r="D263" s="219">
        <f>D261</f>
        <v>45994</v>
      </c>
      <c r="E263" s="227" t="str">
        <f>$M$1</f>
        <v>Giacomo</v>
      </c>
      <c r="F263" s="220">
        <f>IFERROR(AVERAGE(Rankings!$K263:$R263), "TBD")</f>
        <v>3.857142857</v>
      </c>
      <c r="G263" s="220">
        <f>IFERROR(_xlfn.STDEV.P(Rankings!$K263:$R263), "TBD")</f>
        <v>1.807015806</v>
      </c>
      <c r="H263" s="221">
        <f>IFERROR(AVERAGE(Rankings!$K263:$L263, Rankings!$N263:$R263), "TBD")</f>
        <v>4.166666667</v>
      </c>
      <c r="I263" s="222" t="s">
        <v>880</v>
      </c>
      <c r="J263" s="222" t="s">
        <v>881</v>
      </c>
      <c r="K263" s="143">
        <v>2.0</v>
      </c>
      <c r="L263" s="144">
        <v>3.0</v>
      </c>
      <c r="M263" s="144">
        <v>2.0</v>
      </c>
      <c r="N263" s="144">
        <v>4.0</v>
      </c>
      <c r="O263" s="144">
        <v>6.0</v>
      </c>
      <c r="P263" s="144">
        <v>3.0</v>
      </c>
      <c r="Q263" s="122"/>
      <c r="R263" s="223">
        <v>7.0</v>
      </c>
      <c r="S263" s="147">
        <f>IF(SUM(Rankings!$K263:$R263)&gt;0, COUNTIFS(Rankings!$D$2:$D$987, Rankings!$D263, Rankings!$F$2:$F$987, "&lt;"&amp;Rankings!$F263) + COUNTIFS(Rankings!$D$2:$D$987, Rankings!$D263, Rankings!$F$2:$F$987, Rankings!$F263, Rankings!$G$2:$G$987, "&lt;"&amp;Rankings!$G263)+1, "TBD")</f>
        <v>3</v>
      </c>
      <c r="T263" s="225">
        <v>1.0</v>
      </c>
      <c r="U263" s="225" t="b">
        <f>Rankings!$S263=Rankings!$T263</f>
        <v>0</v>
      </c>
      <c r="V263" s="226"/>
      <c r="W263" s="153"/>
    </row>
    <row r="264" ht="15.0" customHeight="1">
      <c r="A264" s="134"/>
      <c r="B264" s="134"/>
      <c r="C264" s="134"/>
      <c r="D264" s="219">
        <f>D261</f>
        <v>45994</v>
      </c>
      <c r="E264" s="227" t="str">
        <f>$N$1</f>
        <v>Rosey</v>
      </c>
      <c r="F264" s="220">
        <f>IFERROR(AVERAGE(Rankings!$K264:$R264), "TBD")</f>
        <v>4</v>
      </c>
      <c r="G264" s="220">
        <f>IFERROR(_xlfn.STDEV.P(Rankings!$K264:$R264), "TBD")</f>
        <v>1.309307341</v>
      </c>
      <c r="H264" s="221">
        <f>IFERROR(AVERAGE(Rankings!$K264:$M264, Rankings!$O264:$R264), "TBD")</f>
        <v>4.166666667</v>
      </c>
      <c r="I264" s="222" t="s">
        <v>882</v>
      </c>
      <c r="J264" s="222" t="s">
        <v>688</v>
      </c>
      <c r="K264" s="143">
        <v>4.0</v>
      </c>
      <c r="L264" s="144">
        <v>6.0</v>
      </c>
      <c r="M264" s="144">
        <v>5.0</v>
      </c>
      <c r="N264" s="144">
        <v>3.0</v>
      </c>
      <c r="O264" s="144">
        <v>3.0</v>
      </c>
      <c r="P264" s="144">
        <v>2.0</v>
      </c>
      <c r="Q264" s="122"/>
      <c r="R264" s="223">
        <v>5.0</v>
      </c>
      <c r="S264" s="147">
        <f>IF(SUM(Rankings!$K264:$R264)&gt;0, COUNTIFS(Rankings!$D$2:$D$987, Rankings!$D264, Rankings!$F$2:$F$987, "&lt;"&amp;Rankings!$F264) + COUNTIFS(Rankings!$D$2:$D$987, Rankings!$D264, Rankings!$F$2:$F$987, Rankings!$F264, Rankings!$G$2:$G$987, "&lt;"&amp;Rankings!$G264)+1, "TBD")</f>
        <v>4</v>
      </c>
      <c r="T264" s="225">
        <v>1.0</v>
      </c>
      <c r="U264" s="225" t="b">
        <f>Rankings!$S264=Rankings!$T264</f>
        <v>0</v>
      </c>
      <c r="V264" s="226"/>
      <c r="W264" s="153"/>
    </row>
    <row r="265" ht="15.0" customHeight="1">
      <c r="A265" s="134"/>
      <c r="B265" s="134"/>
      <c r="C265" s="134"/>
      <c r="D265" s="219">
        <f t="shared" ref="D265:D267" si="38">D261</f>
        <v>45994</v>
      </c>
      <c r="E265" s="227" t="str">
        <f>$O$1</f>
        <v>TTAC</v>
      </c>
      <c r="F265" s="220">
        <f>IFERROR(AVERAGE(Rankings!$K265:$R265), "TBD")</f>
        <v>5.428571429</v>
      </c>
      <c r="G265" s="220">
        <f>IFERROR(_xlfn.STDEV.P(Rankings!$K265:$R265), "TBD")</f>
        <v>1.916629695</v>
      </c>
      <c r="H265" s="221">
        <f>IFERROR(AVERAGE(Rankings!$K265:$N265, Rankings!$P265:$R265), "TBD")</f>
        <v>6</v>
      </c>
      <c r="I265" s="222" t="s">
        <v>883</v>
      </c>
      <c r="J265" s="222" t="s">
        <v>884</v>
      </c>
      <c r="K265" s="143">
        <v>7.0</v>
      </c>
      <c r="L265" s="144">
        <v>7.0</v>
      </c>
      <c r="M265" s="144">
        <v>6.0</v>
      </c>
      <c r="N265" s="144">
        <v>7.0</v>
      </c>
      <c r="O265" s="144">
        <v>2.0</v>
      </c>
      <c r="P265" s="144">
        <v>6.0</v>
      </c>
      <c r="Q265" s="122"/>
      <c r="R265" s="223">
        <v>3.0</v>
      </c>
      <c r="S265" s="147">
        <f>IF(SUM(Rankings!$K265:$R265)&gt;0, COUNTIFS(Rankings!$D$2:$D$987, Rankings!$D265, Rankings!$F$2:$F$987, "&lt;"&amp;Rankings!$F265) + COUNTIFS(Rankings!$D$2:$D$987, Rankings!$D265, Rankings!$F$2:$F$987, Rankings!$F265, Rankings!$G$2:$G$987, "&lt;"&amp;Rankings!$G265)+1, "TBD")</f>
        <v>7</v>
      </c>
      <c r="T265" s="225">
        <v>1.0</v>
      </c>
      <c r="U265" s="225" t="b">
        <f>Rankings!$S265=Rankings!$T265</f>
        <v>0</v>
      </c>
      <c r="V265" s="226"/>
      <c r="W265" s="153"/>
    </row>
    <row r="266" ht="15.0" customHeight="1">
      <c r="A266" s="134"/>
      <c r="B266" s="134"/>
      <c r="C266" s="134"/>
      <c r="D266" s="219">
        <f t="shared" si="38"/>
        <v>45994</v>
      </c>
      <c r="E266" s="227" t="str">
        <f>$P$1</f>
        <v>Weston</v>
      </c>
      <c r="F266" s="220">
        <f>IFERROR(AVERAGE(Rankings!$K266:$R266), "TBD")</f>
        <v>1.714285714</v>
      </c>
      <c r="G266" s="220">
        <f>IFERROR(_xlfn.STDEV.P(Rankings!$K266:$R266), "TBD")</f>
        <v>1.385051388</v>
      </c>
      <c r="H266" s="221">
        <f>IFERROR(AVERAGE(Rankings!$K266:$O266, Rankings!$R266), "TBD")</f>
        <v>1.833333333</v>
      </c>
      <c r="I266" s="222" t="s">
        <v>515</v>
      </c>
      <c r="J266" s="222" t="s">
        <v>885</v>
      </c>
      <c r="K266" s="143">
        <v>1.0</v>
      </c>
      <c r="L266" s="144">
        <v>1.0</v>
      </c>
      <c r="M266" s="144">
        <v>1.0</v>
      </c>
      <c r="N266" s="144">
        <v>2.0</v>
      </c>
      <c r="O266" s="144">
        <v>5.0</v>
      </c>
      <c r="P266" s="144">
        <v>1.0</v>
      </c>
      <c r="Q266" s="122"/>
      <c r="R266" s="223">
        <v>1.0</v>
      </c>
      <c r="S266" s="147">
        <f>IF(SUM(Rankings!$K266:$R266)&gt;0, COUNTIFS(Rankings!$D$2:$D$987, Rankings!$D266, Rankings!$F$2:$F$987, "&lt;"&amp;Rankings!$F266) + COUNTIFS(Rankings!$D$2:$D$987, Rankings!$D266, Rankings!$F$2:$F$987, Rankings!$F266, Rankings!$G$2:$G$987, "&lt;"&amp;Rankings!$G266)+1, "TBD")</f>
        <v>1</v>
      </c>
      <c r="T266" s="225">
        <v>1.0</v>
      </c>
      <c r="U266" s="225" t="b">
        <f>Rankings!$S266=Rankings!$T266</f>
        <v>1</v>
      </c>
      <c r="V266" s="226"/>
      <c r="W266" s="153"/>
    </row>
    <row r="267" ht="15.0" customHeight="1">
      <c r="A267" s="189"/>
      <c r="B267" s="189"/>
      <c r="C267" s="189"/>
      <c r="D267" s="235">
        <f t="shared" si="38"/>
        <v>45994</v>
      </c>
      <c r="E267" s="237" t="str">
        <f>$R$1</f>
        <v>Jake</v>
      </c>
      <c r="F267" s="240">
        <f>IFERROR(AVERAGE(Rankings!$K267:$R267), "TBD")</f>
        <v>3.142857143</v>
      </c>
      <c r="G267" s="240">
        <f>IFERROR(_xlfn.STDEV.P(Rankings!$K267:$R267), "TBD")</f>
        <v>2.099562637</v>
      </c>
      <c r="H267" s="242">
        <f>IFERROR(AVERAGE(Rankings!$K267:$P267), "TBD")</f>
        <v>3.333333333</v>
      </c>
      <c r="I267" s="243" t="s">
        <v>886</v>
      </c>
      <c r="J267" s="243" t="s">
        <v>887</v>
      </c>
      <c r="K267" s="199">
        <v>5.0</v>
      </c>
      <c r="L267" s="201">
        <v>2.0</v>
      </c>
      <c r="M267" s="201">
        <v>7.0</v>
      </c>
      <c r="N267" s="201">
        <v>1.0</v>
      </c>
      <c r="O267" s="201">
        <v>1.0</v>
      </c>
      <c r="P267" s="201">
        <v>4.0</v>
      </c>
      <c r="Q267" s="122"/>
      <c r="R267" s="244">
        <v>2.0</v>
      </c>
      <c r="S267" s="203">
        <f>IF(SUM(Rankings!$K267:$R267)&gt;0, COUNTIFS(Rankings!$D$2:$D$987, Rankings!$D267, Rankings!$F$2:$F$987, "&lt;"&amp;Rankings!$F267) + COUNTIFS(Rankings!$D$2:$D$987, Rankings!$D267, Rankings!$F$2:$F$987, Rankings!$F267, Rankings!$G$2:$G$987, "&lt;"&amp;Rankings!$G267)+1, "TBD")</f>
        <v>2</v>
      </c>
      <c r="T267" s="247">
        <v>1.0</v>
      </c>
      <c r="U267" s="247" t="b">
        <f>Rankings!$S267=Rankings!$T267</f>
        <v>0</v>
      </c>
      <c r="V267" s="248"/>
      <c r="W267" s="208"/>
    </row>
    <row r="268" ht="15.0" customHeight="1">
      <c r="A268" s="103">
        <v>45996.0</v>
      </c>
      <c r="B268" s="104"/>
      <c r="C268" s="104" t="str">
        <f t="array" ref="C268">INDEX(Rankings!$E268:$E274, MATCH(1, (Rankings!$D268:$D274=$A268)*(Rankings!$U268:$U274=TRUE()), 0))</f>
        <v>Logan</v>
      </c>
      <c r="D268" s="111">
        <f>A268</f>
        <v>45996</v>
      </c>
      <c r="E268" s="113" t="str">
        <f>$K$1</f>
        <v>Logan</v>
      </c>
      <c r="F268" s="115">
        <f>IFERROR(AVERAGE(Rankings!$K268:$R268), "TBD")</f>
        <v>2.428571429</v>
      </c>
      <c r="G268" s="115">
        <f>IFERROR(_xlfn.STDEV.P(Rankings!$K268:$R268), "TBD")</f>
        <v>1.293626448</v>
      </c>
      <c r="H268" s="117">
        <f>IFERROR(AVERAGE(Rankings!$L268:$R268), "TBD")</f>
        <v>2.5</v>
      </c>
      <c r="I268" s="119" t="s">
        <v>518</v>
      </c>
      <c r="J268" s="119" t="s">
        <v>888</v>
      </c>
      <c r="K268" s="120">
        <v>2.0</v>
      </c>
      <c r="L268" s="121">
        <v>3.0</v>
      </c>
      <c r="M268" s="121">
        <v>3.0</v>
      </c>
      <c r="N268" s="121">
        <v>1.0</v>
      </c>
      <c r="O268" s="121">
        <v>5.0</v>
      </c>
      <c r="P268" s="121">
        <v>2.0</v>
      </c>
      <c r="Q268" s="122"/>
      <c r="R268" s="216">
        <v>1.0</v>
      </c>
      <c r="S268" s="126">
        <f>IF(SUM(Rankings!$K268:$R268)&gt;0, COUNTIFS(Rankings!$D$2:$D$987, Rankings!$D268, Rankings!$F$2:$F$987, "&lt;"&amp;Rankings!$F268) + COUNTIFS(Rankings!$D$2:$D$987, Rankings!$D268, Rankings!$F$2:$F$987, Rankings!$F268, Rankings!$G$2:$G$987, "&lt;"&amp;Rankings!$G268)+1, "TBD")</f>
        <v>1</v>
      </c>
      <c r="T268" s="217">
        <v>1.0</v>
      </c>
      <c r="U268" s="217" t="b">
        <f>Rankings!$S268=Rankings!$T268</f>
        <v>1</v>
      </c>
      <c r="V268" s="133"/>
      <c r="W268" s="133"/>
    </row>
    <row r="269" ht="15.0" customHeight="1">
      <c r="A269" s="134"/>
      <c r="B269" s="134"/>
      <c r="C269" s="134"/>
      <c r="D269" s="219">
        <f>D268</f>
        <v>45996</v>
      </c>
      <c r="E269" s="138" t="str">
        <f>$L$1</f>
        <v>Parker</v>
      </c>
      <c r="F269" s="220">
        <f>IFERROR(AVERAGE(Rankings!$K269:$R269), "TBD")</f>
        <v>3.571428571</v>
      </c>
      <c r="G269" s="220">
        <f>IFERROR(_xlfn.STDEV.P(Rankings!$K269:$R269), "TBD")</f>
        <v>2.194613071</v>
      </c>
      <c r="H269" s="221">
        <f>IFERROR(AVERAGE(Rankings!$K269, Rankings!$M269:$R269), "TBD")</f>
        <v>4</v>
      </c>
      <c r="I269" s="222" t="s">
        <v>889</v>
      </c>
      <c r="J269" s="222" t="s">
        <v>890</v>
      </c>
      <c r="K269" s="143">
        <v>1.0</v>
      </c>
      <c r="L269" s="144">
        <v>1.0</v>
      </c>
      <c r="M269" s="144">
        <v>6.0</v>
      </c>
      <c r="N269" s="144">
        <v>2.0</v>
      </c>
      <c r="O269" s="144">
        <v>6.0</v>
      </c>
      <c r="P269" s="144">
        <v>3.0</v>
      </c>
      <c r="Q269" s="122"/>
      <c r="R269" s="223">
        <v>6.0</v>
      </c>
      <c r="S269" s="147">
        <f>IF(SUM(Rankings!$K269:$R269)&gt;0, COUNTIFS(Rankings!$D$2:$D$987, Rankings!$D269, Rankings!$F$2:$F$987, "&lt;"&amp;Rankings!$F269) + COUNTIFS(Rankings!$D$2:$D$987, Rankings!$D269, Rankings!$F$2:$F$987, Rankings!$F269, Rankings!$G$2:$G$987, "&lt;"&amp;Rankings!$G269)+1, "TBD")</f>
        <v>3</v>
      </c>
      <c r="T269" s="225">
        <v>1.0</v>
      </c>
      <c r="U269" s="225" t="b">
        <f>Rankings!$S269=Rankings!$T269</f>
        <v>0</v>
      </c>
      <c r="V269" s="226"/>
      <c r="W269" s="153"/>
    </row>
    <row r="270" ht="15.0" customHeight="1">
      <c r="A270" s="134"/>
      <c r="B270" s="134"/>
      <c r="C270" s="134"/>
      <c r="D270" s="219">
        <f>D268</f>
        <v>45996</v>
      </c>
      <c r="E270" s="227" t="str">
        <f>$M$1</f>
        <v>Giacomo</v>
      </c>
      <c r="F270" s="220">
        <f>IFERROR(AVERAGE(Rankings!$K270:$R270), "TBD")</f>
        <v>2.714285714</v>
      </c>
      <c r="G270" s="220">
        <f>IFERROR(_xlfn.STDEV.P(Rankings!$K270:$R270), "TBD")</f>
        <v>1.905952009</v>
      </c>
      <c r="H270" s="221">
        <f>IFERROR(AVERAGE(Rankings!$K270:$L270, Rankings!$N270:$R270), "TBD")</f>
        <v>3</v>
      </c>
      <c r="I270" s="222" t="s">
        <v>891</v>
      </c>
      <c r="J270" s="222" t="s">
        <v>892</v>
      </c>
      <c r="K270" s="143">
        <v>6.0</v>
      </c>
      <c r="L270" s="144">
        <v>2.0</v>
      </c>
      <c r="M270" s="144">
        <v>1.0</v>
      </c>
      <c r="N270" s="144">
        <v>3.0</v>
      </c>
      <c r="O270" s="144">
        <v>1.0</v>
      </c>
      <c r="P270" s="144">
        <v>1.0</v>
      </c>
      <c r="Q270" s="122"/>
      <c r="R270" s="223">
        <v>5.0</v>
      </c>
      <c r="S270" s="147">
        <f>IF(SUM(Rankings!$K270:$R270)&gt;0, COUNTIFS(Rankings!$D$2:$D$987, Rankings!$D270, Rankings!$F$2:$F$987, "&lt;"&amp;Rankings!$F270) + COUNTIFS(Rankings!$D$2:$D$987, Rankings!$D270, Rankings!$F$2:$F$987, Rankings!$F270, Rankings!$G$2:$G$987, "&lt;"&amp;Rankings!$G270)+1, "TBD")</f>
        <v>2</v>
      </c>
      <c r="T270" s="225">
        <v>1.0</v>
      </c>
      <c r="U270" s="225" t="b">
        <f>Rankings!$S270=Rankings!$T270</f>
        <v>0</v>
      </c>
      <c r="V270" s="226"/>
      <c r="W270" s="153"/>
    </row>
    <row r="271" ht="15.0" customHeight="1">
      <c r="A271" s="134"/>
      <c r="B271" s="134"/>
      <c r="C271" s="134"/>
      <c r="D271" s="219">
        <f>D268</f>
        <v>45996</v>
      </c>
      <c r="E271" s="227" t="str">
        <f>$N$1</f>
        <v>Rosey</v>
      </c>
      <c r="F271" s="220">
        <f>IFERROR(AVERAGE(Rankings!$K271:$R271), "TBD")</f>
        <v>5.428571429</v>
      </c>
      <c r="G271" s="220">
        <f>IFERROR(_xlfn.STDEV.P(Rankings!$K271:$R271), "TBD")</f>
        <v>1.178030179</v>
      </c>
      <c r="H271" s="221">
        <f>IFERROR(AVERAGE(Rankings!$K271:$M271, Rankings!$O271:$R271), "TBD")</f>
        <v>5.5</v>
      </c>
      <c r="I271" s="222" t="s">
        <v>893</v>
      </c>
      <c r="J271" s="222" t="s">
        <v>894</v>
      </c>
      <c r="K271" s="143">
        <v>7.0</v>
      </c>
      <c r="L271" s="144">
        <v>5.0</v>
      </c>
      <c r="M271" s="144">
        <v>4.0</v>
      </c>
      <c r="N271" s="144">
        <v>5.0</v>
      </c>
      <c r="O271" s="144">
        <v>7.0</v>
      </c>
      <c r="P271" s="144">
        <v>6.0</v>
      </c>
      <c r="Q271" s="122"/>
      <c r="R271" s="223">
        <v>4.0</v>
      </c>
      <c r="S271" s="147">
        <f>IF(SUM(Rankings!$K271:$R271)&gt;0, COUNTIFS(Rankings!$D$2:$D$987, Rankings!$D271, Rankings!$F$2:$F$987, "&lt;"&amp;Rankings!$F271) + COUNTIFS(Rankings!$D$2:$D$987, Rankings!$D271, Rankings!$F$2:$F$987, Rankings!$F271, Rankings!$G$2:$G$987, "&lt;"&amp;Rankings!$G271)+1, "TBD")</f>
        <v>6</v>
      </c>
      <c r="T271" s="225">
        <v>1.0</v>
      </c>
      <c r="U271" s="225" t="b">
        <f>Rankings!$S271=Rankings!$T271</f>
        <v>0</v>
      </c>
      <c r="V271" s="226"/>
      <c r="W271" s="153"/>
    </row>
    <row r="272" ht="15.0" customHeight="1">
      <c r="A272" s="134"/>
      <c r="B272" s="134"/>
      <c r="C272" s="134"/>
      <c r="D272" s="219">
        <f t="shared" ref="D272:D274" si="39">D268</f>
        <v>45996</v>
      </c>
      <c r="E272" s="227" t="str">
        <f>$O$1</f>
        <v>TTAC</v>
      </c>
      <c r="F272" s="220">
        <f>IFERROR(AVERAGE(Rankings!$K272:$R272), "TBD")</f>
        <v>6.285714286</v>
      </c>
      <c r="G272" s="220">
        <f>IFERROR(_xlfn.STDEV.P(Rankings!$K272:$R272), "TBD")</f>
        <v>1.160576915</v>
      </c>
      <c r="H272" s="221">
        <f>IFERROR(AVERAGE(Rankings!$K272:$N272, Rankings!$P272:$R272), "TBD")</f>
        <v>6.666666667</v>
      </c>
      <c r="I272" s="222" t="s">
        <v>895</v>
      </c>
      <c r="J272" s="222" t="s">
        <v>896</v>
      </c>
      <c r="K272" s="143">
        <v>5.0</v>
      </c>
      <c r="L272" s="144">
        <v>7.0</v>
      </c>
      <c r="M272" s="144">
        <v>7.0</v>
      </c>
      <c r="N272" s="144">
        <v>7.0</v>
      </c>
      <c r="O272" s="144">
        <v>4.0</v>
      </c>
      <c r="P272" s="144">
        <v>7.0</v>
      </c>
      <c r="Q272" s="122"/>
      <c r="R272" s="223">
        <v>7.0</v>
      </c>
      <c r="S272" s="147">
        <f>IF(SUM(Rankings!$K272:$R272)&gt;0, COUNTIFS(Rankings!$D$2:$D$987, Rankings!$D272, Rankings!$F$2:$F$987, "&lt;"&amp;Rankings!$F272) + COUNTIFS(Rankings!$D$2:$D$987, Rankings!$D272, Rankings!$F$2:$F$987, Rankings!$F272, Rankings!$G$2:$G$987, "&lt;"&amp;Rankings!$G272)+1, "TBD")</f>
        <v>7</v>
      </c>
      <c r="T272" s="225">
        <v>1.0</v>
      </c>
      <c r="U272" s="225" t="b">
        <f>Rankings!$S272=Rankings!$T272</f>
        <v>0</v>
      </c>
      <c r="V272" s="226"/>
      <c r="W272" s="153"/>
    </row>
    <row r="273" ht="15.0" customHeight="1">
      <c r="A273" s="134"/>
      <c r="B273" s="134"/>
      <c r="C273" s="134"/>
      <c r="D273" s="219">
        <f t="shared" si="39"/>
        <v>45996</v>
      </c>
      <c r="E273" s="227" t="str">
        <f>$P$1</f>
        <v>Weston</v>
      </c>
      <c r="F273" s="220">
        <f>IFERROR(AVERAGE(Rankings!$K273:$R273), "TBD")</f>
        <v>3.857142857</v>
      </c>
      <c r="G273" s="220">
        <f>IFERROR(_xlfn.STDEV.P(Rankings!$K273:$R273), "TBD")</f>
        <v>1.245399698</v>
      </c>
      <c r="H273" s="221">
        <f>IFERROR(AVERAGE(Rankings!$K273:$O273, Rankings!$R273), "TBD")</f>
        <v>3.833333333</v>
      </c>
      <c r="I273" s="222" t="s">
        <v>897</v>
      </c>
      <c r="J273" s="222" t="s">
        <v>898</v>
      </c>
      <c r="K273" s="143">
        <v>3.0</v>
      </c>
      <c r="L273" s="144">
        <v>6.0</v>
      </c>
      <c r="M273" s="144">
        <v>5.0</v>
      </c>
      <c r="N273" s="144">
        <v>4.0</v>
      </c>
      <c r="O273" s="144">
        <v>3.0</v>
      </c>
      <c r="P273" s="144">
        <v>4.0</v>
      </c>
      <c r="Q273" s="122"/>
      <c r="R273" s="223">
        <v>2.0</v>
      </c>
      <c r="S273" s="147">
        <f>IF(SUM(Rankings!$K273:$R273)&gt;0, COUNTIFS(Rankings!$D$2:$D$987, Rankings!$D273, Rankings!$F$2:$F$987, "&lt;"&amp;Rankings!$F273) + COUNTIFS(Rankings!$D$2:$D$987, Rankings!$D273, Rankings!$F$2:$F$987, Rankings!$F273, Rankings!$G$2:$G$987, "&lt;"&amp;Rankings!$G273)+1, "TBD")</f>
        <v>5</v>
      </c>
      <c r="T273" s="225">
        <v>1.0</v>
      </c>
      <c r="U273" s="225" t="b">
        <f>Rankings!$S273=Rankings!$T273</f>
        <v>0</v>
      </c>
      <c r="V273" s="226"/>
      <c r="W273" s="153"/>
    </row>
    <row r="274" ht="15.0" customHeight="1">
      <c r="A274" s="189"/>
      <c r="B274" s="189"/>
      <c r="C274" s="189"/>
      <c r="D274" s="235">
        <f t="shared" si="39"/>
        <v>45996</v>
      </c>
      <c r="E274" s="237" t="str">
        <f>$R$1</f>
        <v>Jake</v>
      </c>
      <c r="F274" s="240">
        <f>IFERROR(AVERAGE(Rankings!$K274:$R274), "TBD")</f>
        <v>3.714285714</v>
      </c>
      <c r="G274" s="240">
        <f>IFERROR(_xlfn.STDEV.P(Rankings!$K274:$R274), "TBD")</f>
        <v>1.385051388</v>
      </c>
      <c r="H274" s="242">
        <f>IFERROR(AVERAGE(Rankings!$K274:$P274), "TBD")</f>
        <v>3.833333333</v>
      </c>
      <c r="I274" s="243" t="s">
        <v>899</v>
      </c>
      <c r="J274" s="243" t="s">
        <v>900</v>
      </c>
      <c r="K274" s="199">
        <v>4.0</v>
      </c>
      <c r="L274" s="201">
        <v>4.0</v>
      </c>
      <c r="M274" s="201">
        <v>2.0</v>
      </c>
      <c r="N274" s="201">
        <v>6.0</v>
      </c>
      <c r="O274" s="201">
        <v>2.0</v>
      </c>
      <c r="P274" s="201">
        <v>5.0</v>
      </c>
      <c r="Q274" s="122"/>
      <c r="R274" s="244">
        <v>3.0</v>
      </c>
      <c r="S274" s="203">
        <f>IF(SUM(Rankings!$K274:$R274)&gt;0, COUNTIFS(Rankings!$D$2:$D$987, Rankings!$D274, Rankings!$F$2:$F$987, "&lt;"&amp;Rankings!$F274) + COUNTIFS(Rankings!$D$2:$D$987, Rankings!$D274, Rankings!$F$2:$F$987, Rankings!$F274, Rankings!$G$2:$G$987, "&lt;"&amp;Rankings!$G274)+1, "TBD")</f>
        <v>4</v>
      </c>
      <c r="T274" s="247">
        <v>1.0</v>
      </c>
      <c r="U274" s="247" t="b">
        <f>Rankings!$S274=Rankings!$T274</f>
        <v>0</v>
      </c>
      <c r="V274" s="248"/>
      <c r="W274" s="208"/>
    </row>
    <row r="275" ht="15.0" customHeight="1">
      <c r="A275" s="103">
        <v>45999.0</v>
      </c>
      <c r="B275" s="104"/>
      <c r="C275" s="104" t="str">
        <f t="array" ref="C275">INDEX(Rankings!$E275:$E281, MATCH(1, (Rankings!$D275:$D281=$A275)*(Rankings!$U275:$U281=TRUE()), 0))</f>
        <v>Weston</v>
      </c>
      <c r="D275" s="111">
        <f>A275</f>
        <v>45999</v>
      </c>
      <c r="E275" s="113" t="str">
        <f>$K$1</f>
        <v>Logan</v>
      </c>
      <c r="F275" s="115">
        <f>IFERROR(AVERAGE(Rankings!$K275:$R275), "TBD")</f>
        <v>3.714285714</v>
      </c>
      <c r="G275" s="115">
        <f>IFERROR(_xlfn.STDEV.P(Rankings!$K275:$R275), "TBD")</f>
        <v>2.373321104</v>
      </c>
      <c r="H275" s="117">
        <f>IFERROR(AVERAGE(Rankings!$L275:$R275), "TBD")</f>
        <v>4</v>
      </c>
      <c r="I275" s="119" t="s">
        <v>901</v>
      </c>
      <c r="J275" s="119" t="s">
        <v>902</v>
      </c>
      <c r="K275" s="120">
        <v>2.0</v>
      </c>
      <c r="L275" s="121">
        <v>1.0</v>
      </c>
      <c r="M275" s="121">
        <v>7.0</v>
      </c>
      <c r="N275" s="121">
        <v>6.0</v>
      </c>
      <c r="O275" s="121">
        <v>6.0</v>
      </c>
      <c r="P275" s="121">
        <v>3.0</v>
      </c>
      <c r="Q275" s="122"/>
      <c r="R275" s="216">
        <v>1.0</v>
      </c>
      <c r="S275" s="126">
        <f>IF(SUM(Rankings!$K275:$R275)&gt;0, COUNTIFS(Rankings!$D$2:$D$987, Rankings!$D275, Rankings!$F$2:$F$987, "&lt;"&amp;Rankings!$F275) + COUNTIFS(Rankings!$D$2:$D$987, Rankings!$D275, Rankings!$F$2:$F$987, Rankings!$F275, Rankings!$G$2:$G$987, "&lt;"&amp;Rankings!$G275)+1, "TBD")</f>
        <v>4</v>
      </c>
      <c r="T275" s="217">
        <v>1.0</v>
      </c>
      <c r="U275" s="217" t="b">
        <f>Rankings!$S275=Rankings!$T275</f>
        <v>0</v>
      </c>
      <c r="V275" s="133"/>
      <c r="W275" s="133"/>
    </row>
    <row r="276" ht="15.0" customHeight="1">
      <c r="A276" s="134"/>
      <c r="B276" s="134"/>
      <c r="C276" s="134"/>
      <c r="D276" s="219">
        <f>D275</f>
        <v>45999</v>
      </c>
      <c r="E276" s="138" t="str">
        <f>$L$1</f>
        <v>Parker</v>
      </c>
      <c r="F276" s="220">
        <f>IFERROR(AVERAGE(Rankings!$K276:$R276), "TBD")</f>
        <v>3.714285714</v>
      </c>
      <c r="G276" s="220">
        <f>IFERROR(_xlfn.STDEV.P(Rankings!$K276:$R276), "TBD")</f>
        <v>1.577908717</v>
      </c>
      <c r="H276" s="221">
        <f>IFERROR(AVERAGE(Rankings!$K276, Rankings!$M276:$R276), "TBD")</f>
        <v>3.666666667</v>
      </c>
      <c r="I276" s="222" t="s">
        <v>903</v>
      </c>
      <c r="J276" s="222" t="s">
        <v>904</v>
      </c>
      <c r="K276" s="143">
        <v>5.0</v>
      </c>
      <c r="L276" s="144">
        <v>4.0</v>
      </c>
      <c r="M276" s="144">
        <v>4.0</v>
      </c>
      <c r="N276" s="144">
        <v>2.0</v>
      </c>
      <c r="O276" s="144">
        <v>1.0</v>
      </c>
      <c r="P276" s="144">
        <v>4.0</v>
      </c>
      <c r="Q276" s="122"/>
      <c r="R276" s="223">
        <v>6.0</v>
      </c>
      <c r="S276" s="147">
        <f>IF(SUM(Rankings!$K276:$R276)&gt;0, COUNTIFS(Rankings!$D$2:$D$987, Rankings!$D276, Rankings!$F$2:$F$987, "&lt;"&amp;Rankings!$F276) + COUNTIFS(Rankings!$D$2:$D$987, Rankings!$D276, Rankings!$F$2:$F$987, Rankings!$F276, Rankings!$G$2:$G$987, "&lt;"&amp;Rankings!$G276)+1, "TBD")</f>
        <v>3</v>
      </c>
      <c r="T276" s="225">
        <v>1.0</v>
      </c>
      <c r="U276" s="225" t="b">
        <f>Rankings!$S276=Rankings!$T276</f>
        <v>0</v>
      </c>
      <c r="V276" s="226"/>
      <c r="W276" s="153"/>
    </row>
    <row r="277" ht="15.0" customHeight="1">
      <c r="A277" s="134"/>
      <c r="B277" s="134"/>
      <c r="C277" s="134"/>
      <c r="D277" s="219">
        <f>D275</f>
        <v>45999</v>
      </c>
      <c r="E277" s="227" t="str">
        <f>$M$1</f>
        <v>Giacomo</v>
      </c>
      <c r="F277" s="220">
        <f>IFERROR(AVERAGE(Rankings!$K277:$R277), "TBD")</f>
        <v>4.428571429</v>
      </c>
      <c r="G277" s="220">
        <f>IFERROR(_xlfn.STDEV.P(Rankings!$K277:$R277), "TBD")</f>
        <v>2.128523489</v>
      </c>
      <c r="H277" s="221">
        <f>IFERROR(AVERAGE(Rankings!$K277:$L277, Rankings!$N277:$R277), "TBD")</f>
        <v>4.833333333</v>
      </c>
      <c r="I277" s="222" t="s">
        <v>905</v>
      </c>
      <c r="J277" s="222" t="s">
        <v>906</v>
      </c>
      <c r="K277" s="143">
        <v>1.0</v>
      </c>
      <c r="L277" s="144">
        <v>5.0</v>
      </c>
      <c r="M277" s="144">
        <v>2.0</v>
      </c>
      <c r="N277" s="144">
        <v>7.0</v>
      </c>
      <c r="O277" s="144">
        <v>7.0</v>
      </c>
      <c r="P277" s="144">
        <v>5.0</v>
      </c>
      <c r="Q277" s="122"/>
      <c r="R277" s="223">
        <v>4.0</v>
      </c>
      <c r="S277" s="147">
        <f>IF(SUM(Rankings!$K277:$R277)&gt;0, COUNTIFS(Rankings!$D$2:$D$987, Rankings!$D277, Rankings!$F$2:$F$987, "&lt;"&amp;Rankings!$F277) + COUNTIFS(Rankings!$D$2:$D$987, Rankings!$D277, Rankings!$F$2:$F$987, Rankings!$F277, Rankings!$G$2:$G$987, "&lt;"&amp;Rankings!$G277)+1, "TBD")</f>
        <v>5</v>
      </c>
      <c r="T277" s="225">
        <v>1.0</v>
      </c>
      <c r="U277" s="225" t="b">
        <f>Rankings!$S277=Rankings!$T277</f>
        <v>0</v>
      </c>
      <c r="V277" s="226"/>
      <c r="W277" s="153"/>
    </row>
    <row r="278" ht="15.0" customHeight="1">
      <c r="A278" s="134"/>
      <c r="B278" s="134"/>
      <c r="C278" s="134"/>
      <c r="D278" s="219">
        <f>D275</f>
        <v>45999</v>
      </c>
      <c r="E278" s="227" t="str">
        <f>$N$1</f>
        <v>Rosey</v>
      </c>
      <c r="F278" s="220">
        <f>IFERROR(AVERAGE(Rankings!$K278:$R278), "TBD")</f>
        <v>5.285714286</v>
      </c>
      <c r="G278" s="220">
        <f>IFERROR(_xlfn.STDEV.P(Rankings!$K278:$R278), "TBD")</f>
        <v>1.905952009</v>
      </c>
      <c r="H278" s="221">
        <f>IFERROR(AVERAGE(Rankings!$K278:$M278, Rankings!$O278:$R278), "TBD")</f>
        <v>6</v>
      </c>
      <c r="I278" s="222" t="s">
        <v>907</v>
      </c>
      <c r="J278" s="222" t="s">
        <v>908</v>
      </c>
      <c r="K278" s="143">
        <v>6.0</v>
      </c>
      <c r="L278" s="144">
        <v>6.0</v>
      </c>
      <c r="M278" s="144">
        <v>5.0</v>
      </c>
      <c r="N278" s="144">
        <v>1.0</v>
      </c>
      <c r="O278" s="144">
        <v>5.0</v>
      </c>
      <c r="P278" s="144">
        <v>7.0</v>
      </c>
      <c r="Q278" s="122"/>
      <c r="R278" s="223">
        <v>7.0</v>
      </c>
      <c r="S278" s="147">
        <f>IF(SUM(Rankings!$K278:$R278)&gt;0, COUNTIFS(Rankings!$D$2:$D$987, Rankings!$D278, Rankings!$F$2:$F$987, "&lt;"&amp;Rankings!$F278) + COUNTIFS(Rankings!$D$2:$D$987, Rankings!$D278, Rankings!$F$2:$F$987, Rankings!$F278, Rankings!$G$2:$G$987, "&lt;"&amp;Rankings!$G278)+1, "TBD")</f>
        <v>7</v>
      </c>
      <c r="T278" s="225">
        <v>1.0</v>
      </c>
      <c r="U278" s="225" t="b">
        <f>Rankings!$S278=Rankings!$T278</f>
        <v>0</v>
      </c>
      <c r="V278" s="226"/>
      <c r="W278" s="153"/>
    </row>
    <row r="279" ht="15.0" customHeight="1">
      <c r="A279" s="134"/>
      <c r="B279" s="134"/>
      <c r="C279" s="134"/>
      <c r="D279" s="219">
        <f t="shared" ref="D279:D281" si="40">D275</f>
        <v>45999</v>
      </c>
      <c r="E279" s="227" t="str">
        <f>$O$1</f>
        <v>TTAC</v>
      </c>
      <c r="F279" s="220">
        <f>IFERROR(AVERAGE(Rankings!$K279:$R279), "TBD")</f>
        <v>5.285714286</v>
      </c>
      <c r="G279" s="220">
        <f>IFERROR(_xlfn.STDEV.P(Rankings!$K279:$R279), "TBD")</f>
        <v>1.385051388</v>
      </c>
      <c r="H279" s="221">
        <f>IFERROR(AVERAGE(Rankings!$K279:$N279, Rankings!$P279:$R279), "TBD")</f>
        <v>5.5</v>
      </c>
      <c r="I279" s="222" t="s">
        <v>909</v>
      </c>
      <c r="J279" s="222" t="s">
        <v>910</v>
      </c>
      <c r="K279" s="143">
        <v>7.0</v>
      </c>
      <c r="L279" s="144">
        <v>7.0</v>
      </c>
      <c r="M279" s="144">
        <v>3.0</v>
      </c>
      <c r="N279" s="144">
        <v>5.0</v>
      </c>
      <c r="O279" s="144">
        <v>4.0</v>
      </c>
      <c r="P279" s="144">
        <v>6.0</v>
      </c>
      <c r="Q279" s="122"/>
      <c r="R279" s="223">
        <v>5.0</v>
      </c>
      <c r="S279" s="147">
        <f>IF(SUM(Rankings!$K279:$R279)&gt;0, COUNTIFS(Rankings!$D$2:$D$987, Rankings!$D279, Rankings!$F$2:$F$987, "&lt;"&amp;Rankings!$F279) + COUNTIFS(Rankings!$D$2:$D$987, Rankings!$D279, Rankings!$F$2:$F$987, Rankings!$F279, Rankings!$G$2:$G$987, "&lt;"&amp;Rankings!$G279)+1, "TBD")</f>
        <v>6</v>
      </c>
      <c r="T279" s="225">
        <v>1.0</v>
      </c>
      <c r="U279" s="225" t="b">
        <f>Rankings!$S279=Rankings!$T279</f>
        <v>0</v>
      </c>
      <c r="V279" s="226"/>
      <c r="W279" s="153"/>
    </row>
    <row r="280" ht="15.0" customHeight="1">
      <c r="A280" s="134"/>
      <c r="B280" s="134"/>
      <c r="C280" s="134"/>
      <c r="D280" s="219">
        <f t="shared" si="40"/>
        <v>45999</v>
      </c>
      <c r="E280" s="227" t="str">
        <f>$P$1</f>
        <v>Weston</v>
      </c>
      <c r="F280" s="220">
        <f>IFERROR(AVERAGE(Rankings!$K280:$R280), "TBD")</f>
        <v>2.142857143</v>
      </c>
      <c r="G280" s="220">
        <f>IFERROR(_xlfn.STDEV.P(Rankings!$K280:$R280), "TBD")</f>
        <v>0.8329931278</v>
      </c>
      <c r="H280" s="221">
        <f>IFERROR(AVERAGE(Rankings!$K280:$O280, Rankings!$R280), "TBD")</f>
        <v>2.333333333</v>
      </c>
      <c r="I280" s="222" t="s">
        <v>526</v>
      </c>
      <c r="J280" s="222" t="s">
        <v>911</v>
      </c>
      <c r="K280" s="143">
        <v>3.0</v>
      </c>
      <c r="L280" s="144">
        <v>2.0</v>
      </c>
      <c r="M280" s="144">
        <v>1.0</v>
      </c>
      <c r="N280" s="144">
        <v>3.0</v>
      </c>
      <c r="O280" s="144">
        <v>2.0</v>
      </c>
      <c r="P280" s="144">
        <v>1.0</v>
      </c>
      <c r="Q280" s="122"/>
      <c r="R280" s="223">
        <v>3.0</v>
      </c>
      <c r="S280" s="147">
        <f>IF(SUM(Rankings!$K280:$R280)&gt;0, COUNTIFS(Rankings!$D$2:$D$987, Rankings!$D280, Rankings!$F$2:$F$987, "&lt;"&amp;Rankings!$F280) + COUNTIFS(Rankings!$D$2:$D$987, Rankings!$D280, Rankings!$F$2:$F$987, Rankings!$F280, Rankings!$G$2:$G$987, "&lt;"&amp;Rankings!$G280)+1, "TBD")</f>
        <v>1</v>
      </c>
      <c r="T280" s="225">
        <v>1.0</v>
      </c>
      <c r="U280" s="225" t="b">
        <f>Rankings!$S280=Rankings!$T280</f>
        <v>1</v>
      </c>
      <c r="V280" s="226"/>
      <c r="W280" s="153"/>
    </row>
    <row r="281" ht="15.0" customHeight="1">
      <c r="A281" s="189"/>
      <c r="B281" s="189"/>
      <c r="C281" s="189"/>
      <c r="D281" s="235">
        <f t="shared" si="40"/>
        <v>45999</v>
      </c>
      <c r="E281" s="237" t="str">
        <f>$R$1</f>
        <v>Jake</v>
      </c>
      <c r="F281" s="240">
        <f>IFERROR(AVERAGE(Rankings!$K281:$R281), "TBD")</f>
        <v>3.428571429</v>
      </c>
      <c r="G281" s="240">
        <f>IFERROR(_xlfn.STDEV.P(Rankings!$K281:$R281), "TBD")</f>
        <v>1.293626448</v>
      </c>
      <c r="H281" s="242">
        <f>IFERROR(AVERAGE(Rankings!$K281:$P281), "TBD")</f>
        <v>3.666666667</v>
      </c>
      <c r="I281" s="243" t="s">
        <v>912</v>
      </c>
      <c r="J281" s="243" t="s">
        <v>913</v>
      </c>
      <c r="K281" s="199">
        <v>4.0</v>
      </c>
      <c r="L281" s="201">
        <v>3.0</v>
      </c>
      <c r="M281" s="201">
        <v>6.0</v>
      </c>
      <c r="N281" s="201">
        <v>4.0</v>
      </c>
      <c r="O281" s="201">
        <v>3.0</v>
      </c>
      <c r="P281" s="201">
        <v>2.0</v>
      </c>
      <c r="Q281" s="122"/>
      <c r="R281" s="244">
        <v>2.0</v>
      </c>
      <c r="S281" s="203">
        <f>IF(SUM(Rankings!$K281:$R281)&gt;0, COUNTIFS(Rankings!$D$2:$D$987, Rankings!$D281, Rankings!$F$2:$F$987, "&lt;"&amp;Rankings!$F281) + COUNTIFS(Rankings!$D$2:$D$987, Rankings!$D281, Rankings!$F$2:$F$987, Rankings!$F281, Rankings!$G$2:$G$987, "&lt;"&amp;Rankings!$G281)+1, "TBD")</f>
        <v>2</v>
      </c>
      <c r="T281" s="247">
        <v>1.0</v>
      </c>
      <c r="U281" s="247" t="b">
        <f>Rankings!$S281=Rankings!$T281</f>
        <v>0</v>
      </c>
      <c r="V281" s="248"/>
      <c r="W281" s="208"/>
    </row>
    <row r="282" ht="15.0" customHeight="1">
      <c r="A282" s="103">
        <v>46001.0</v>
      </c>
      <c r="B282" s="104"/>
      <c r="C282" s="104" t="str">
        <f t="array" ref="C282">INDEX(Rankings!$E282:$E288, MATCH(1, (Rankings!$D282:$D288=$A282)*(Rankings!$U282:$U288=TRUE()), 0))</f>
        <v>Rosey</v>
      </c>
      <c r="D282" s="111">
        <f>A282</f>
        <v>46001</v>
      </c>
      <c r="E282" s="113" t="str">
        <f>$K$1</f>
        <v>Logan</v>
      </c>
      <c r="F282" s="115">
        <f>IFERROR(AVERAGE(Rankings!$K282:$R282), "TBD")</f>
        <v>4.285714286</v>
      </c>
      <c r="G282" s="115">
        <f>IFERROR(_xlfn.STDEV.P(Rankings!$K282:$R282), "TBD")</f>
        <v>1.829464068</v>
      </c>
      <c r="H282" s="117">
        <f>IFERROR(AVERAGE(Rankings!$L282:$R282), "TBD")</f>
        <v>4.666666667</v>
      </c>
      <c r="I282" s="119" t="s">
        <v>914</v>
      </c>
      <c r="J282" s="119" t="s">
        <v>915</v>
      </c>
      <c r="K282" s="120">
        <v>2.0</v>
      </c>
      <c r="L282" s="121">
        <v>2.0</v>
      </c>
      <c r="M282" s="121">
        <v>3.0</v>
      </c>
      <c r="N282" s="121">
        <v>6.0</v>
      </c>
      <c r="O282" s="121">
        <v>5.0</v>
      </c>
      <c r="P282" s="121">
        <v>7.0</v>
      </c>
      <c r="Q282" s="122"/>
      <c r="R282" s="216">
        <v>5.0</v>
      </c>
      <c r="S282" s="126">
        <f>IF(SUM(Rankings!$K282:$R282)&gt;0, COUNTIFS(Rankings!$D$2:$D$987, Rankings!$D282, Rankings!$F$2:$F$987, "&lt;"&amp;Rankings!$F282) + COUNTIFS(Rankings!$D$2:$D$987, Rankings!$D282, Rankings!$F$2:$F$987, Rankings!$F282, Rankings!$G$2:$G$987, "&lt;"&amp;Rankings!$G282)+1, "TBD")</f>
        <v>5</v>
      </c>
      <c r="T282" s="217">
        <v>1.0</v>
      </c>
      <c r="U282" s="217" t="b">
        <f>Rankings!$S282=Rankings!$T282</f>
        <v>0</v>
      </c>
      <c r="V282" s="133"/>
      <c r="W282" s="133"/>
    </row>
    <row r="283" ht="15.0" customHeight="1">
      <c r="A283" s="134"/>
      <c r="B283" s="134"/>
      <c r="C283" s="134"/>
      <c r="D283" s="219">
        <f>D282</f>
        <v>46001</v>
      </c>
      <c r="E283" s="138" t="str">
        <f>$L$1</f>
        <v>Parker</v>
      </c>
      <c r="F283" s="220">
        <f>IFERROR(AVERAGE(Rankings!$K283:$R283), "TBD")</f>
        <v>3.857142857</v>
      </c>
      <c r="G283" s="220">
        <f>IFERROR(_xlfn.STDEV.P(Rankings!$K283:$R283), "TBD")</f>
        <v>1.456862718</v>
      </c>
      <c r="H283" s="221">
        <f>IFERROR(AVERAGE(Rankings!$K283, Rankings!$M283:$R283), "TBD")</f>
        <v>4.333333333</v>
      </c>
      <c r="I283" s="222" t="s">
        <v>916</v>
      </c>
      <c r="J283" s="222" t="s">
        <v>917</v>
      </c>
      <c r="K283" s="143">
        <v>4.0</v>
      </c>
      <c r="L283" s="144">
        <v>1.0</v>
      </c>
      <c r="M283" s="144">
        <v>5.0</v>
      </c>
      <c r="N283" s="144">
        <v>4.0</v>
      </c>
      <c r="O283" s="144">
        <v>3.0</v>
      </c>
      <c r="P283" s="144">
        <v>4.0</v>
      </c>
      <c r="Q283" s="122"/>
      <c r="R283" s="223">
        <v>6.0</v>
      </c>
      <c r="S283" s="147">
        <f>IF(SUM(Rankings!$K283:$R283)&gt;0, COUNTIFS(Rankings!$D$2:$D$987, Rankings!$D283, Rankings!$F$2:$F$987, "&lt;"&amp;Rankings!$F283) + COUNTIFS(Rankings!$D$2:$D$987, Rankings!$D283, Rankings!$F$2:$F$987, Rankings!$F283, Rankings!$G$2:$G$987, "&lt;"&amp;Rankings!$G283)+1, "TBD")</f>
        <v>4</v>
      </c>
      <c r="T283" s="225">
        <v>1.0</v>
      </c>
      <c r="U283" s="225" t="b">
        <f>Rankings!$S283=Rankings!$T283</f>
        <v>0</v>
      </c>
      <c r="V283" s="226"/>
      <c r="W283" s="153"/>
    </row>
    <row r="284" ht="15.0" customHeight="1">
      <c r="A284" s="134"/>
      <c r="B284" s="134"/>
      <c r="C284" s="134"/>
      <c r="D284" s="219">
        <f>D282</f>
        <v>46001</v>
      </c>
      <c r="E284" s="227" t="str">
        <f>$M$1</f>
        <v>Giacomo</v>
      </c>
      <c r="F284" s="220">
        <f>IFERROR(AVERAGE(Rankings!$K284:$R284), "TBD")</f>
        <v>2.714285714</v>
      </c>
      <c r="G284" s="220">
        <f>IFERROR(_xlfn.STDEV.P(Rankings!$K284:$R284), "TBD")</f>
        <v>1.905952009</v>
      </c>
      <c r="H284" s="221">
        <f>IFERROR(AVERAGE(Rankings!$K284:$L284, Rankings!$N284:$R284), "TBD")</f>
        <v>3</v>
      </c>
      <c r="I284" s="222" t="s">
        <v>918</v>
      </c>
      <c r="J284" s="222" t="s">
        <v>919</v>
      </c>
      <c r="K284" s="143">
        <v>5.0</v>
      </c>
      <c r="L284" s="144">
        <v>3.0</v>
      </c>
      <c r="M284" s="144">
        <v>1.0</v>
      </c>
      <c r="N284" s="144">
        <v>2.0</v>
      </c>
      <c r="O284" s="144">
        <v>6.0</v>
      </c>
      <c r="P284" s="144">
        <v>1.0</v>
      </c>
      <c r="Q284" s="122"/>
      <c r="R284" s="223">
        <v>1.0</v>
      </c>
      <c r="S284" s="147">
        <f>IF(SUM(Rankings!$K284:$R284)&gt;0, COUNTIFS(Rankings!$D$2:$D$987, Rankings!$D284, Rankings!$F$2:$F$987, "&lt;"&amp;Rankings!$F284) + COUNTIFS(Rankings!$D$2:$D$987, Rankings!$D284, Rankings!$F$2:$F$987, Rankings!$F284, Rankings!$G$2:$G$987, "&lt;"&amp;Rankings!$G284)+1, "TBD")</f>
        <v>2</v>
      </c>
      <c r="T284" s="225">
        <v>1.0</v>
      </c>
      <c r="U284" s="225" t="b">
        <f>Rankings!$S284=Rankings!$T284</f>
        <v>0</v>
      </c>
      <c r="V284" s="226"/>
      <c r="W284" s="153"/>
    </row>
    <row r="285" ht="15.0" customHeight="1">
      <c r="A285" s="134"/>
      <c r="B285" s="134"/>
      <c r="C285" s="134"/>
      <c r="D285" s="219">
        <f>D282</f>
        <v>46001</v>
      </c>
      <c r="E285" s="227" t="str">
        <f>$N$1</f>
        <v>Rosey</v>
      </c>
      <c r="F285" s="220">
        <f>IFERROR(AVERAGE(Rankings!$K285:$R285), "TBD")</f>
        <v>2.714285714</v>
      </c>
      <c r="G285" s="220">
        <f>IFERROR(_xlfn.STDEV.P(Rankings!$K285:$R285), "TBD")</f>
        <v>1.030157507</v>
      </c>
      <c r="H285" s="221">
        <f>IFERROR(AVERAGE(Rankings!$K285:$M285, Rankings!$O285:$R285), "TBD")</f>
        <v>3</v>
      </c>
      <c r="I285" s="222" t="s">
        <v>521</v>
      </c>
      <c r="J285" s="222" t="s">
        <v>920</v>
      </c>
      <c r="K285" s="143">
        <v>3.0</v>
      </c>
      <c r="L285" s="144">
        <v>4.0</v>
      </c>
      <c r="M285" s="144">
        <v>2.0</v>
      </c>
      <c r="N285" s="144">
        <v>1.0</v>
      </c>
      <c r="O285" s="144">
        <v>2.0</v>
      </c>
      <c r="P285" s="144">
        <v>3.0</v>
      </c>
      <c r="Q285" s="122"/>
      <c r="R285" s="223">
        <v>4.0</v>
      </c>
      <c r="S285" s="147">
        <f>IF(SUM(Rankings!$K285:$R285)&gt;0, COUNTIFS(Rankings!$D$2:$D$987, Rankings!$D285, Rankings!$F$2:$F$987, "&lt;"&amp;Rankings!$F285) + COUNTIFS(Rankings!$D$2:$D$987, Rankings!$D285, Rankings!$F$2:$F$987, Rankings!$F285, Rankings!$G$2:$G$987, "&lt;"&amp;Rankings!$G285)+1, "TBD")</f>
        <v>1</v>
      </c>
      <c r="T285" s="225">
        <v>1.0</v>
      </c>
      <c r="U285" s="225" t="b">
        <f>Rankings!$S285=Rankings!$T285</f>
        <v>1</v>
      </c>
      <c r="V285" s="226"/>
      <c r="W285" s="153"/>
    </row>
    <row r="286" ht="15.0" customHeight="1">
      <c r="A286" s="134"/>
      <c r="B286" s="134"/>
      <c r="C286" s="134"/>
      <c r="D286" s="219">
        <f t="shared" ref="D286:D288" si="41">D282</f>
        <v>46001</v>
      </c>
      <c r="E286" s="227" t="str">
        <f>$O$1</f>
        <v>TTAC</v>
      </c>
      <c r="F286" s="220">
        <f>IFERROR(AVERAGE(Rankings!$K286:$R286), "TBD")</f>
        <v>6.285714286</v>
      </c>
      <c r="G286" s="220">
        <f>IFERROR(_xlfn.STDEV.P(Rankings!$K286:$R286), "TBD")</f>
        <v>1.030157507</v>
      </c>
      <c r="H286" s="221">
        <f>IFERROR(AVERAGE(Rankings!$K286:$N286, Rankings!$P286:$R286), "TBD")</f>
        <v>6.666666667</v>
      </c>
      <c r="I286" s="222" t="s">
        <v>921</v>
      </c>
      <c r="J286" s="222" t="s">
        <v>922</v>
      </c>
      <c r="K286" s="143">
        <v>7.0</v>
      </c>
      <c r="L286" s="144">
        <v>7.0</v>
      </c>
      <c r="M286" s="144">
        <v>6.0</v>
      </c>
      <c r="N286" s="144">
        <v>7.0</v>
      </c>
      <c r="O286" s="144">
        <v>4.0</v>
      </c>
      <c r="P286" s="144">
        <v>6.0</v>
      </c>
      <c r="Q286" s="122"/>
      <c r="R286" s="223">
        <v>7.0</v>
      </c>
      <c r="S286" s="147">
        <f>IF(SUM(Rankings!$K286:$R286)&gt;0, COUNTIFS(Rankings!$D$2:$D$987, Rankings!$D286, Rankings!$F$2:$F$987, "&lt;"&amp;Rankings!$F286) + COUNTIFS(Rankings!$D$2:$D$987, Rankings!$D286, Rankings!$F$2:$F$987, Rankings!$F286, Rankings!$G$2:$G$987, "&lt;"&amp;Rankings!$G286)+1, "TBD")</f>
        <v>7</v>
      </c>
      <c r="T286" s="225">
        <v>1.0</v>
      </c>
      <c r="U286" s="225" t="b">
        <f>Rankings!$S286=Rankings!$T286</f>
        <v>0</v>
      </c>
      <c r="V286" s="226"/>
      <c r="W286" s="153"/>
    </row>
    <row r="287" ht="15.0" customHeight="1">
      <c r="A287" s="134"/>
      <c r="B287" s="134"/>
      <c r="C287" s="134"/>
      <c r="D287" s="219">
        <f t="shared" si="41"/>
        <v>46001</v>
      </c>
      <c r="E287" s="227" t="str">
        <f>$P$1</f>
        <v>Weston</v>
      </c>
      <c r="F287" s="220">
        <f>IFERROR(AVERAGE(Rankings!$K287:$R287), "TBD")</f>
        <v>3.714285714</v>
      </c>
      <c r="G287" s="220">
        <f>IFERROR(_xlfn.STDEV.P(Rankings!$K287:$R287), "TBD")</f>
        <v>1.665986256</v>
      </c>
      <c r="H287" s="221">
        <f>IFERROR(AVERAGE(Rankings!$K287:$O287, Rankings!$R287), "TBD")</f>
        <v>4</v>
      </c>
      <c r="I287" s="222" t="s">
        <v>923</v>
      </c>
      <c r="J287" s="222">
        <v>311.0</v>
      </c>
      <c r="K287" s="143">
        <v>6.0</v>
      </c>
      <c r="L287" s="144">
        <v>5.0</v>
      </c>
      <c r="M287" s="144">
        <v>4.0</v>
      </c>
      <c r="N287" s="144">
        <v>5.0</v>
      </c>
      <c r="O287" s="144">
        <v>1.0</v>
      </c>
      <c r="P287" s="144">
        <v>2.0</v>
      </c>
      <c r="Q287" s="122"/>
      <c r="R287" s="223">
        <v>3.0</v>
      </c>
      <c r="S287" s="147">
        <f>IF(SUM(Rankings!$K287:$R287)&gt;0, COUNTIFS(Rankings!$D$2:$D$987, Rankings!$D287, Rankings!$F$2:$F$987, "&lt;"&amp;Rankings!$F287) + COUNTIFS(Rankings!$D$2:$D$987, Rankings!$D287, Rankings!$F$2:$F$987, Rankings!$F287, Rankings!$G$2:$G$987, "&lt;"&amp;Rankings!$G287)+1, "TBD")</f>
        <v>3</v>
      </c>
      <c r="T287" s="225">
        <v>1.0</v>
      </c>
      <c r="U287" s="225" t="b">
        <f>Rankings!$S287=Rankings!$T287</f>
        <v>0</v>
      </c>
      <c r="V287" s="226"/>
      <c r="W287" s="153"/>
    </row>
    <row r="288" ht="15.0" customHeight="1">
      <c r="A288" s="189"/>
      <c r="B288" s="189"/>
      <c r="C288" s="189"/>
      <c r="D288" s="235">
        <f t="shared" si="41"/>
        <v>46001</v>
      </c>
      <c r="E288" s="237" t="str">
        <f>$R$1</f>
        <v>Jake</v>
      </c>
      <c r="F288" s="240">
        <f>IFERROR(AVERAGE(Rankings!$K288:$R288), "TBD")</f>
        <v>4.428571429</v>
      </c>
      <c r="G288" s="240">
        <f>IFERROR(_xlfn.STDEV.P(Rankings!$K288:$R288), "TBD")</f>
        <v>2.258769757</v>
      </c>
      <c r="H288" s="242">
        <f>IFERROR(AVERAGE(Rankings!$K288:$P288), "TBD")</f>
        <v>4.833333333</v>
      </c>
      <c r="I288" s="243" t="s">
        <v>924</v>
      </c>
      <c r="J288" s="243" t="s">
        <v>191</v>
      </c>
      <c r="K288" s="199">
        <v>1.0</v>
      </c>
      <c r="L288" s="201">
        <v>6.0</v>
      </c>
      <c r="M288" s="201">
        <v>7.0</v>
      </c>
      <c r="N288" s="201">
        <v>3.0</v>
      </c>
      <c r="O288" s="201">
        <v>7.0</v>
      </c>
      <c r="P288" s="201">
        <v>5.0</v>
      </c>
      <c r="Q288" s="122"/>
      <c r="R288" s="244">
        <v>2.0</v>
      </c>
      <c r="S288" s="203">
        <f>IF(SUM(Rankings!$K288:$R288)&gt;0, COUNTIFS(Rankings!$D$2:$D$987, Rankings!$D288, Rankings!$F$2:$F$987, "&lt;"&amp;Rankings!$F288) + COUNTIFS(Rankings!$D$2:$D$987, Rankings!$D288, Rankings!$F$2:$F$987, Rankings!$F288, Rankings!$G$2:$G$987, "&lt;"&amp;Rankings!$G288)+1, "TBD")</f>
        <v>6</v>
      </c>
      <c r="T288" s="247">
        <v>1.0</v>
      </c>
      <c r="U288" s="247" t="b">
        <f>Rankings!$S288=Rankings!$T288</f>
        <v>0</v>
      </c>
      <c r="V288" s="248"/>
      <c r="W288" s="208"/>
    </row>
    <row r="289" ht="15.0" customHeight="1">
      <c r="A289" s="103">
        <v>46003.0</v>
      </c>
      <c r="B289" s="104"/>
      <c r="C289" s="104" t="str">
        <f t="array" ref="C289">INDEX(Rankings!$E289:$E295, MATCH(1, (Rankings!$D289:$D295=$A289)*(Rankings!$U289:$U295=TRUE()), 0))</f>
        <v>Rosey</v>
      </c>
      <c r="D289" s="111">
        <f>A289</f>
        <v>46003</v>
      </c>
      <c r="E289" s="113" t="str">
        <f>$K$1</f>
        <v>Logan</v>
      </c>
      <c r="F289" s="115">
        <f>IFERROR(AVERAGE(Rankings!$K289:$R289), "TBD")</f>
        <v>2.714285714</v>
      </c>
      <c r="G289" s="115">
        <f>IFERROR(_xlfn.STDEV.P(Rankings!$K289:$R289), "TBD")</f>
        <v>1.385051388</v>
      </c>
      <c r="H289" s="117">
        <f>IFERROR(AVERAGE(Rankings!$L289:$R289), "TBD")</f>
        <v>2.666666667</v>
      </c>
      <c r="I289" s="119" t="s">
        <v>925</v>
      </c>
      <c r="J289" s="119" t="s">
        <v>926</v>
      </c>
      <c r="K289" s="120">
        <v>3.0</v>
      </c>
      <c r="L289" s="121">
        <v>5.0</v>
      </c>
      <c r="M289" s="121">
        <v>3.0</v>
      </c>
      <c r="N289" s="121">
        <v>2.0</v>
      </c>
      <c r="O289" s="121">
        <v>1.0</v>
      </c>
      <c r="P289" s="121">
        <v>1.0</v>
      </c>
      <c r="Q289" s="122"/>
      <c r="R289" s="216">
        <v>4.0</v>
      </c>
      <c r="S289" s="126">
        <f>IF(SUM(Rankings!$K289:$R289)&gt;0, COUNTIFS(Rankings!$D$2:$D$987, Rankings!$D289, Rankings!$F$2:$F$987, "&lt;"&amp;Rankings!$F289) + COUNTIFS(Rankings!$D$2:$D$987, Rankings!$D289, Rankings!$F$2:$F$987, Rankings!$F289, Rankings!$G$2:$G$987, "&lt;"&amp;Rankings!$G289)+1, "TBD")</f>
        <v>2</v>
      </c>
      <c r="T289" s="217">
        <v>1.0</v>
      </c>
      <c r="U289" s="217" t="b">
        <f>Rankings!$S289=Rankings!$T289</f>
        <v>0</v>
      </c>
      <c r="V289" s="259"/>
      <c r="W289" s="259" t="s">
        <v>927</v>
      </c>
    </row>
    <row r="290" ht="15.0" customHeight="1">
      <c r="A290" s="134"/>
      <c r="B290" s="134"/>
      <c r="C290" s="134"/>
      <c r="D290" s="219">
        <f>D289</f>
        <v>46003</v>
      </c>
      <c r="E290" s="138" t="str">
        <f>$L$1</f>
        <v>Parker</v>
      </c>
      <c r="F290" s="220">
        <f>IFERROR(AVERAGE(Rankings!$K290:$R290), "TBD")</f>
        <v>3</v>
      </c>
      <c r="G290" s="220">
        <f>IFERROR(_xlfn.STDEV.P(Rankings!$K290:$R290), "TBD")</f>
        <v>1.772810521</v>
      </c>
      <c r="H290" s="221">
        <f>IFERROR(AVERAGE(Rankings!$K290, Rankings!$M290:$R290), "TBD")</f>
        <v>3.333333333</v>
      </c>
      <c r="I290" s="222" t="s">
        <v>928</v>
      </c>
      <c r="J290" s="222" t="s">
        <v>929</v>
      </c>
      <c r="K290" s="143">
        <v>1.0</v>
      </c>
      <c r="L290" s="144">
        <v>1.0</v>
      </c>
      <c r="M290" s="144">
        <v>5.0</v>
      </c>
      <c r="N290" s="144">
        <v>5.0</v>
      </c>
      <c r="O290" s="144">
        <v>4.0</v>
      </c>
      <c r="P290" s="144">
        <v>4.0</v>
      </c>
      <c r="Q290" s="122"/>
      <c r="R290" s="223">
        <v>1.0</v>
      </c>
      <c r="S290" s="147">
        <f>IF(SUM(Rankings!$K290:$R290)&gt;0, COUNTIFS(Rankings!$D$2:$D$987, Rankings!$D290, Rankings!$F$2:$F$987, "&lt;"&amp;Rankings!$F290) + COUNTIFS(Rankings!$D$2:$D$987, Rankings!$D290, Rankings!$F$2:$F$987, Rankings!$F290, Rankings!$G$2:$G$987, "&lt;"&amp;Rankings!$G290)+1, "TBD")</f>
        <v>3</v>
      </c>
      <c r="T290" s="225">
        <v>1.0</v>
      </c>
      <c r="U290" s="225" t="b">
        <f>Rankings!$S290=Rankings!$T290</f>
        <v>0</v>
      </c>
      <c r="V290" s="260"/>
      <c r="W290" s="153"/>
    </row>
    <row r="291" ht="15.0" customHeight="1">
      <c r="A291" s="134"/>
      <c r="B291" s="134"/>
      <c r="C291" s="134"/>
      <c r="D291" s="219">
        <f>D289</f>
        <v>46003</v>
      </c>
      <c r="E291" s="227" t="str">
        <f>$M$1</f>
        <v>Giacomo</v>
      </c>
      <c r="F291" s="220">
        <f>IFERROR(AVERAGE(Rankings!$K291:$R291), "TBD")</f>
        <v>4.714285714</v>
      </c>
      <c r="G291" s="220">
        <f>IFERROR(_xlfn.STDEV.P(Rankings!$K291:$R291), "TBD")</f>
        <v>1.484614978</v>
      </c>
      <c r="H291" s="221">
        <f>IFERROR(AVERAGE(Rankings!$K291:$L291, Rankings!$N291:$R291), "TBD")</f>
        <v>5.166666667</v>
      </c>
      <c r="I291" s="222" t="s">
        <v>930</v>
      </c>
      <c r="J291" s="222" t="s">
        <v>712</v>
      </c>
      <c r="K291" s="143">
        <v>5.0</v>
      </c>
      <c r="L291" s="144">
        <v>4.0</v>
      </c>
      <c r="M291" s="144">
        <v>2.0</v>
      </c>
      <c r="N291" s="144">
        <v>4.0</v>
      </c>
      <c r="O291" s="144">
        <v>6.0</v>
      </c>
      <c r="P291" s="144">
        <v>5.0</v>
      </c>
      <c r="Q291" s="122"/>
      <c r="R291" s="223">
        <v>7.0</v>
      </c>
      <c r="S291" s="147">
        <f>IF(SUM(Rankings!$K291:$R291)&gt;0, COUNTIFS(Rankings!$D$2:$D$987, Rankings!$D291, Rankings!$F$2:$F$987, "&lt;"&amp;Rankings!$F291) + COUNTIFS(Rankings!$D$2:$D$987, Rankings!$D291, Rankings!$F$2:$F$987, Rankings!$F291, Rankings!$G$2:$G$987, "&lt;"&amp;Rankings!$G291)+1, "TBD")</f>
        <v>5</v>
      </c>
      <c r="T291" s="225">
        <v>1.0</v>
      </c>
      <c r="U291" s="225" t="b">
        <f>Rankings!$S291=Rankings!$T291</f>
        <v>0</v>
      </c>
      <c r="V291" s="260"/>
      <c r="W291" s="153"/>
    </row>
    <row r="292" ht="15.0" customHeight="1">
      <c r="A292" s="134"/>
      <c r="B292" s="134"/>
      <c r="C292" s="134"/>
      <c r="D292" s="219">
        <f>D289</f>
        <v>46003</v>
      </c>
      <c r="E292" s="227" t="str">
        <f>$N$1</f>
        <v>Rosey</v>
      </c>
      <c r="F292" s="220">
        <f>IFERROR(AVERAGE(Rankings!$K292:$R292), "TBD")</f>
        <v>2.428571429</v>
      </c>
      <c r="G292" s="220">
        <f>IFERROR(_xlfn.STDEV.P(Rankings!$K292:$R292), "TBD")</f>
        <v>0.9035079029</v>
      </c>
      <c r="H292" s="221">
        <f>IFERROR(AVERAGE(Rankings!$K292:$M292, Rankings!$O292:$R292), "TBD")</f>
        <v>2.666666667</v>
      </c>
      <c r="I292" s="222" t="s">
        <v>90</v>
      </c>
      <c r="J292" s="222" t="s">
        <v>931</v>
      </c>
      <c r="K292" s="143">
        <v>2.0</v>
      </c>
      <c r="L292" s="144">
        <v>3.0</v>
      </c>
      <c r="M292" s="144">
        <v>4.0</v>
      </c>
      <c r="N292" s="144">
        <v>1.0</v>
      </c>
      <c r="O292" s="144">
        <v>3.0</v>
      </c>
      <c r="P292" s="144">
        <v>2.0</v>
      </c>
      <c r="Q292" s="122"/>
      <c r="R292" s="223">
        <v>2.0</v>
      </c>
      <c r="S292" s="147">
        <f>IF(SUM(Rankings!$K292:$R292)&gt;0, COUNTIFS(Rankings!$D$2:$D$987, Rankings!$D292, Rankings!$F$2:$F$987, "&lt;"&amp;Rankings!$F292) + COUNTIFS(Rankings!$D$2:$D$987, Rankings!$D292, Rankings!$F$2:$F$987, Rankings!$F292, Rankings!$G$2:$G$987, "&lt;"&amp;Rankings!$G292)+1, "TBD")</f>
        <v>1</v>
      </c>
      <c r="T292" s="225">
        <v>1.0</v>
      </c>
      <c r="U292" s="225" t="b">
        <f>Rankings!$S292=Rankings!$T292</f>
        <v>1</v>
      </c>
      <c r="V292" s="260"/>
      <c r="W292" s="153"/>
    </row>
    <row r="293" ht="15.0" customHeight="1">
      <c r="A293" s="134"/>
      <c r="B293" s="134"/>
      <c r="C293" s="134"/>
      <c r="D293" s="219">
        <f t="shared" ref="D293:D295" si="42">D289</f>
        <v>46003</v>
      </c>
      <c r="E293" s="227" t="str">
        <f>$O$1</f>
        <v>TTAC</v>
      </c>
      <c r="F293" s="220">
        <f>IFERROR(AVERAGE(Rankings!$K293:$R293), "TBD")</f>
        <v>5.571428571</v>
      </c>
      <c r="G293" s="220">
        <f>IFERROR(_xlfn.STDEV.P(Rankings!$K293:$R293), "TBD")</f>
        <v>1.590789818</v>
      </c>
      <c r="H293" s="221">
        <f>IFERROR(AVERAGE(Rankings!$K293:$N293, Rankings!$P293:$R293), "TBD")</f>
        <v>6.166666667</v>
      </c>
      <c r="I293" s="222" t="s">
        <v>932</v>
      </c>
      <c r="J293" s="222" t="s">
        <v>933</v>
      </c>
      <c r="K293" s="143">
        <v>6.0</v>
      </c>
      <c r="L293" s="144">
        <v>7.0</v>
      </c>
      <c r="M293" s="144">
        <v>7.0</v>
      </c>
      <c r="N293" s="144">
        <v>6.0</v>
      </c>
      <c r="O293" s="144">
        <v>2.0</v>
      </c>
      <c r="P293" s="144">
        <v>6.0</v>
      </c>
      <c r="Q293" s="122"/>
      <c r="R293" s="223">
        <v>5.0</v>
      </c>
      <c r="S293" s="147">
        <f>IF(SUM(Rankings!$K293:$R293)&gt;0, COUNTIFS(Rankings!$D$2:$D$987, Rankings!$D293, Rankings!$F$2:$F$987, "&lt;"&amp;Rankings!$F293) + COUNTIFS(Rankings!$D$2:$D$987, Rankings!$D293, Rankings!$F$2:$F$987, Rankings!$F293, Rankings!$G$2:$G$987, "&lt;"&amp;Rankings!$G293)+1, "TBD")</f>
        <v>6</v>
      </c>
      <c r="T293" s="225">
        <v>1.0</v>
      </c>
      <c r="U293" s="225" t="b">
        <f>Rankings!$S293=Rankings!$T293</f>
        <v>0</v>
      </c>
      <c r="V293" s="260"/>
      <c r="W293" s="153"/>
    </row>
    <row r="294" ht="15.0" customHeight="1">
      <c r="A294" s="134"/>
      <c r="B294" s="134"/>
      <c r="C294" s="134"/>
      <c r="D294" s="219">
        <f t="shared" si="42"/>
        <v>46003</v>
      </c>
      <c r="E294" s="227" t="str">
        <f>$P$1</f>
        <v>Weston</v>
      </c>
      <c r="F294" s="220">
        <f>IFERROR(AVERAGE(Rankings!$K294:$R294), "TBD")</f>
        <v>3.428571429</v>
      </c>
      <c r="G294" s="220">
        <f>IFERROR(_xlfn.STDEV.P(Rankings!$K294:$R294), "TBD")</f>
        <v>1.590789818</v>
      </c>
      <c r="H294" s="221">
        <f>IFERROR(AVERAGE(Rankings!$K294:$O294, Rankings!$R294), "TBD")</f>
        <v>3.5</v>
      </c>
      <c r="I294" s="222" t="s">
        <v>934</v>
      </c>
      <c r="J294" s="222" t="s">
        <v>935</v>
      </c>
      <c r="K294" s="143">
        <v>4.0</v>
      </c>
      <c r="L294" s="144">
        <v>2.0</v>
      </c>
      <c r="M294" s="144">
        <v>1.0</v>
      </c>
      <c r="N294" s="144">
        <v>3.0</v>
      </c>
      <c r="O294" s="144">
        <v>5.0</v>
      </c>
      <c r="P294" s="144">
        <v>3.0</v>
      </c>
      <c r="Q294" s="122"/>
      <c r="R294" s="223">
        <v>6.0</v>
      </c>
      <c r="S294" s="147">
        <f>IF(SUM(Rankings!$K294:$R294)&gt;0, COUNTIFS(Rankings!$D$2:$D$987, Rankings!$D294, Rankings!$F$2:$F$987, "&lt;"&amp;Rankings!$F294) + COUNTIFS(Rankings!$D$2:$D$987, Rankings!$D294, Rankings!$F$2:$F$987, Rankings!$F294, Rankings!$G$2:$G$987, "&lt;"&amp;Rankings!$G294)+1, "TBD")</f>
        <v>4</v>
      </c>
      <c r="T294" s="225">
        <v>1.0</v>
      </c>
      <c r="U294" s="225" t="b">
        <f>Rankings!$S294=Rankings!$T294</f>
        <v>0</v>
      </c>
      <c r="V294" s="260"/>
      <c r="W294" s="153"/>
    </row>
    <row r="295" ht="15.0" customHeight="1">
      <c r="A295" s="189"/>
      <c r="B295" s="189"/>
      <c r="C295" s="189"/>
      <c r="D295" s="235">
        <f t="shared" si="42"/>
        <v>46003</v>
      </c>
      <c r="E295" s="237" t="str">
        <f>$R$1</f>
        <v>Jake</v>
      </c>
      <c r="F295" s="240">
        <f>IFERROR(AVERAGE(Rankings!$K295:$R295), "TBD")</f>
        <v>6.142857143</v>
      </c>
      <c r="G295" s="240">
        <f>IFERROR(_xlfn.STDEV.P(Rankings!$K295:$R295), "TBD")</f>
        <v>1.355261854</v>
      </c>
      <c r="H295" s="242">
        <f>IFERROR(AVERAGE(Rankings!$K295:$P295), "TBD")</f>
        <v>6.666666667</v>
      </c>
      <c r="I295" s="243" t="s">
        <v>936</v>
      </c>
      <c r="J295" s="243" t="s">
        <v>937</v>
      </c>
      <c r="K295" s="199">
        <v>7.0</v>
      </c>
      <c r="L295" s="201">
        <v>6.0</v>
      </c>
      <c r="M295" s="201">
        <v>6.0</v>
      </c>
      <c r="N295" s="201">
        <v>7.0</v>
      </c>
      <c r="O295" s="201">
        <v>7.0</v>
      </c>
      <c r="P295" s="201">
        <v>7.0</v>
      </c>
      <c r="Q295" s="122"/>
      <c r="R295" s="244">
        <v>3.0</v>
      </c>
      <c r="S295" s="203">
        <f>IF(SUM(Rankings!$K295:$R295)&gt;0, COUNTIFS(Rankings!$D$2:$D$987, Rankings!$D295, Rankings!$F$2:$F$987, "&lt;"&amp;Rankings!$F295) + COUNTIFS(Rankings!$D$2:$D$987, Rankings!$D295, Rankings!$F$2:$F$987, Rankings!$F295, Rankings!$G$2:$G$987, "&lt;"&amp;Rankings!$G295)+1, "TBD")</f>
        <v>7</v>
      </c>
      <c r="T295" s="247">
        <v>1.0</v>
      </c>
      <c r="U295" s="247" t="b">
        <f>Rankings!$S295=Rankings!$T295</f>
        <v>0</v>
      </c>
      <c r="V295" s="261"/>
      <c r="W295" s="208"/>
    </row>
    <row r="296" ht="15.0" customHeight="1">
      <c r="A296" s="103">
        <v>46006.0</v>
      </c>
      <c r="B296" s="104"/>
      <c r="C296" s="104" t="str">
        <f t="array" ref="C296">INDEX(Rankings!$E296:$E302, MATCH(1, (Rankings!$D296:$D302=$A296)*(Rankings!$U296:$U302=TRUE()), 0))</f>
        <v>Rosey</v>
      </c>
      <c r="D296" s="111">
        <f>A296</f>
        <v>46006</v>
      </c>
      <c r="E296" s="113" t="str">
        <f>$K$1</f>
        <v>Logan</v>
      </c>
      <c r="F296" s="115">
        <f>IFERROR(AVERAGE(Rankings!$K296:$R296), "TBD")</f>
        <v>3.571428571</v>
      </c>
      <c r="G296" s="115">
        <f>IFERROR(_xlfn.STDEV.P(Rankings!$K296:$R296), "TBD")</f>
        <v>1.590789818</v>
      </c>
      <c r="H296" s="117">
        <f>IFERROR(AVERAGE(Rankings!$L296:$R296), "TBD")</f>
        <v>4</v>
      </c>
      <c r="I296" s="119" t="s">
        <v>938</v>
      </c>
      <c r="J296" s="119" t="s">
        <v>939</v>
      </c>
      <c r="K296" s="120">
        <v>1.0</v>
      </c>
      <c r="L296" s="121">
        <v>4.0</v>
      </c>
      <c r="M296" s="121">
        <v>4.0</v>
      </c>
      <c r="N296" s="121">
        <v>5.0</v>
      </c>
      <c r="O296" s="121">
        <v>6.0</v>
      </c>
      <c r="P296" s="121">
        <v>3.0</v>
      </c>
      <c r="Q296" s="122"/>
      <c r="R296" s="216">
        <v>2.0</v>
      </c>
      <c r="S296" s="126">
        <f>IF(SUM(Rankings!$K296:$R296)&gt;0, COUNTIFS(Rankings!$D$2:$D$987, Rankings!$D296, Rankings!$F$2:$F$987, "&lt;"&amp;Rankings!$F296) + COUNTIFS(Rankings!$D$2:$D$987, Rankings!$D296, Rankings!$F$2:$F$987, Rankings!$F296, Rankings!$G$2:$G$987, "&lt;"&amp;Rankings!$G296)+1, "TBD")</f>
        <v>4</v>
      </c>
      <c r="T296" s="217">
        <v>1.0</v>
      </c>
      <c r="U296" s="217" t="b">
        <f>Rankings!$S296=Rankings!$T296</f>
        <v>0</v>
      </c>
      <c r="V296" s="133"/>
      <c r="W296" s="133"/>
    </row>
    <row r="297" ht="15.0" customHeight="1">
      <c r="A297" s="134"/>
      <c r="B297" s="134"/>
      <c r="C297" s="134"/>
      <c r="D297" s="219">
        <f>D296</f>
        <v>46006</v>
      </c>
      <c r="E297" s="138" t="str">
        <f>$L$1</f>
        <v>Parker</v>
      </c>
      <c r="F297" s="220">
        <f>IFERROR(AVERAGE(Rankings!$K297:$R297), "TBD")</f>
        <v>4.142857143</v>
      </c>
      <c r="G297" s="220">
        <f>IFERROR(_xlfn.STDEV.P(Rankings!$K297:$R297), "TBD")</f>
        <v>2.231499907</v>
      </c>
      <c r="H297" s="221">
        <f>IFERROR(AVERAGE(Rankings!$K297, Rankings!$M297:$R297), "TBD")</f>
        <v>4.5</v>
      </c>
      <c r="I297" s="222" t="s">
        <v>940</v>
      </c>
      <c r="J297" s="222" t="s">
        <v>941</v>
      </c>
      <c r="K297" s="143">
        <v>6.0</v>
      </c>
      <c r="L297" s="144">
        <v>2.0</v>
      </c>
      <c r="M297" s="144">
        <v>2.0</v>
      </c>
      <c r="N297" s="144">
        <v>1.0</v>
      </c>
      <c r="O297" s="144">
        <v>7.0</v>
      </c>
      <c r="P297" s="144">
        <v>5.0</v>
      </c>
      <c r="Q297" s="122"/>
      <c r="R297" s="223">
        <v>6.0</v>
      </c>
      <c r="S297" s="147">
        <f>IF(SUM(Rankings!$K297:$R297)&gt;0, COUNTIFS(Rankings!$D$2:$D$987, Rankings!$D297, Rankings!$F$2:$F$987, "&lt;"&amp;Rankings!$F297) + COUNTIFS(Rankings!$D$2:$D$987, Rankings!$D297, Rankings!$F$2:$F$987, Rankings!$F297, Rankings!$G$2:$G$987, "&lt;"&amp;Rankings!$G297)+1, "TBD")</f>
        <v>5</v>
      </c>
      <c r="T297" s="225">
        <v>1.0</v>
      </c>
      <c r="U297" s="225" t="b">
        <f>Rankings!$S297=Rankings!$T297</f>
        <v>0</v>
      </c>
      <c r="V297" s="226"/>
      <c r="W297" s="153"/>
    </row>
    <row r="298" ht="15.0" customHeight="1">
      <c r="A298" s="134"/>
      <c r="B298" s="134"/>
      <c r="C298" s="134"/>
      <c r="D298" s="219">
        <f>D296</f>
        <v>46006</v>
      </c>
      <c r="E298" s="227" t="str">
        <f>$M$1</f>
        <v>Giacomo</v>
      </c>
      <c r="F298" s="220">
        <f>IFERROR(AVERAGE(Rankings!$K298:$R298), "TBD")</f>
        <v>2.857142857</v>
      </c>
      <c r="G298" s="220">
        <f>IFERROR(_xlfn.STDEV.P(Rankings!$K298:$R298), "TBD")</f>
        <v>1.807015806</v>
      </c>
      <c r="H298" s="221">
        <f>IFERROR(AVERAGE(Rankings!$K298:$L298, Rankings!$N298:$R298), "TBD")</f>
        <v>3.166666667</v>
      </c>
      <c r="I298" s="222" t="s">
        <v>942</v>
      </c>
      <c r="J298" s="222" t="s">
        <v>943</v>
      </c>
      <c r="K298" s="143">
        <v>4.0</v>
      </c>
      <c r="L298" s="144">
        <v>1.0</v>
      </c>
      <c r="M298" s="144">
        <v>1.0</v>
      </c>
      <c r="N298" s="144">
        <v>6.0</v>
      </c>
      <c r="O298" s="144">
        <v>4.0</v>
      </c>
      <c r="P298" s="144">
        <v>1.0</v>
      </c>
      <c r="Q298" s="122"/>
      <c r="R298" s="223">
        <v>3.0</v>
      </c>
      <c r="S298" s="147">
        <f>IF(SUM(Rankings!$K298:$R298)&gt;0, COUNTIFS(Rankings!$D$2:$D$987, Rankings!$D298, Rankings!$F$2:$F$987, "&lt;"&amp;Rankings!$F298) + COUNTIFS(Rankings!$D$2:$D$987, Rankings!$D298, Rankings!$F$2:$F$987, Rankings!$F298, Rankings!$G$2:$G$987, "&lt;"&amp;Rankings!$G298)+1, "TBD")</f>
        <v>2</v>
      </c>
      <c r="T298" s="225">
        <v>1.0</v>
      </c>
      <c r="U298" s="225" t="b">
        <f>Rankings!$S298=Rankings!$T298</f>
        <v>0</v>
      </c>
      <c r="V298" s="226"/>
      <c r="W298" s="153"/>
    </row>
    <row r="299" ht="15.0" customHeight="1">
      <c r="A299" s="134"/>
      <c r="B299" s="134"/>
      <c r="C299" s="134"/>
      <c r="D299" s="219">
        <f>D296</f>
        <v>46006</v>
      </c>
      <c r="E299" s="227" t="str">
        <f>$N$1</f>
        <v>Rosey</v>
      </c>
      <c r="F299" s="220">
        <f>IFERROR(AVERAGE(Rankings!$K299:$R299), "TBD")</f>
        <v>2.857142857</v>
      </c>
      <c r="G299" s="220">
        <f>IFERROR(_xlfn.STDEV.P(Rankings!$K299:$R299), "TBD")</f>
        <v>1.245399698</v>
      </c>
      <c r="H299" s="221">
        <f>IFERROR(AVERAGE(Rankings!$K299:$M299, Rankings!$O299:$R299), "TBD")</f>
        <v>3</v>
      </c>
      <c r="I299" s="222" t="s">
        <v>525</v>
      </c>
      <c r="J299" s="222" t="s">
        <v>944</v>
      </c>
      <c r="K299" s="143">
        <v>3.0</v>
      </c>
      <c r="L299" s="144">
        <v>5.0</v>
      </c>
      <c r="M299" s="144">
        <v>3.0</v>
      </c>
      <c r="N299" s="144">
        <v>2.0</v>
      </c>
      <c r="O299" s="144">
        <v>2.0</v>
      </c>
      <c r="P299" s="144">
        <v>4.0</v>
      </c>
      <c r="Q299" s="122"/>
      <c r="R299" s="223">
        <v>1.0</v>
      </c>
      <c r="S299" s="147">
        <f>IF(SUM(Rankings!$K299:$R299)&gt;0, COUNTIFS(Rankings!$D$2:$D$987, Rankings!$D299, Rankings!$F$2:$F$987, "&lt;"&amp;Rankings!$F299) + COUNTIFS(Rankings!$D$2:$D$987, Rankings!$D299, Rankings!$F$2:$F$987, Rankings!$F299, Rankings!$G$2:$G$987, "&lt;"&amp;Rankings!$G299)+1, "TBD")</f>
        <v>1</v>
      </c>
      <c r="T299" s="225">
        <v>1.0</v>
      </c>
      <c r="U299" s="225" t="b">
        <f>Rankings!$S299=Rankings!$T299</f>
        <v>1</v>
      </c>
      <c r="V299" s="226"/>
      <c r="W299" s="153"/>
    </row>
    <row r="300" ht="15.0" customHeight="1">
      <c r="A300" s="134"/>
      <c r="B300" s="134"/>
      <c r="C300" s="134"/>
      <c r="D300" s="219">
        <f t="shared" ref="D300:D302" si="43">D296</f>
        <v>46006</v>
      </c>
      <c r="E300" s="227" t="str">
        <f>$O$1</f>
        <v>TTAC</v>
      </c>
      <c r="F300" s="220">
        <f>IFERROR(AVERAGE(Rankings!$K300:$R300), "TBD")</f>
        <v>6.285714286</v>
      </c>
      <c r="G300" s="220">
        <f>IFERROR(_xlfn.STDEV.P(Rankings!$K300:$R300), "TBD")</f>
        <v>1.385051388</v>
      </c>
      <c r="H300" s="221">
        <f>IFERROR(AVERAGE(Rankings!$K300:$N300, Rankings!$P300:$R300), "TBD")</f>
        <v>6.833333333</v>
      </c>
      <c r="I300" s="222" t="s">
        <v>945</v>
      </c>
      <c r="J300" s="222" t="s">
        <v>946</v>
      </c>
      <c r="K300" s="143">
        <v>7.0</v>
      </c>
      <c r="L300" s="144">
        <v>7.0</v>
      </c>
      <c r="M300" s="144">
        <v>7.0</v>
      </c>
      <c r="N300" s="144">
        <v>7.0</v>
      </c>
      <c r="O300" s="144">
        <v>3.0</v>
      </c>
      <c r="P300" s="144">
        <v>6.0</v>
      </c>
      <c r="Q300" s="122"/>
      <c r="R300" s="223">
        <v>7.0</v>
      </c>
      <c r="S300" s="147">
        <f>IF(SUM(Rankings!$K300:$R300)&gt;0, COUNTIFS(Rankings!$D$2:$D$987, Rankings!$D300, Rankings!$F$2:$F$987, "&lt;"&amp;Rankings!$F300) + COUNTIFS(Rankings!$D$2:$D$987, Rankings!$D300, Rankings!$F$2:$F$987, Rankings!$F300, Rankings!$G$2:$G$987, "&lt;"&amp;Rankings!$G300)+1, "TBD")</f>
        <v>7</v>
      </c>
      <c r="T300" s="225">
        <v>1.0</v>
      </c>
      <c r="U300" s="225" t="b">
        <f>Rankings!$S300=Rankings!$T300</f>
        <v>0</v>
      </c>
      <c r="V300" s="226"/>
      <c r="W300" s="153"/>
    </row>
    <row r="301" ht="15.0" customHeight="1">
      <c r="A301" s="134"/>
      <c r="B301" s="134"/>
      <c r="C301" s="134"/>
      <c r="D301" s="219">
        <f t="shared" si="43"/>
        <v>46006</v>
      </c>
      <c r="E301" s="227" t="str">
        <f>$P$1</f>
        <v>Weston</v>
      </c>
      <c r="F301" s="220">
        <f>IFERROR(AVERAGE(Rankings!$K301:$R301), "TBD")</f>
        <v>3</v>
      </c>
      <c r="G301" s="220">
        <f>IFERROR(_xlfn.STDEV.P(Rankings!$K301:$R301), "TBD")</f>
        <v>1.414213562</v>
      </c>
      <c r="H301" s="221">
        <f>IFERROR(AVERAGE(Rankings!$K301:$O301, Rankings!$R301), "TBD")</f>
        <v>3.166666667</v>
      </c>
      <c r="I301" s="222" t="s">
        <v>947</v>
      </c>
      <c r="J301" s="222" t="s">
        <v>948</v>
      </c>
      <c r="K301" s="143">
        <v>2.0</v>
      </c>
      <c r="L301" s="144">
        <v>3.0</v>
      </c>
      <c r="M301" s="144">
        <v>5.0</v>
      </c>
      <c r="N301" s="144">
        <v>3.0</v>
      </c>
      <c r="O301" s="144">
        <v>1.0</v>
      </c>
      <c r="P301" s="144">
        <v>2.0</v>
      </c>
      <c r="Q301" s="122"/>
      <c r="R301" s="223">
        <v>5.0</v>
      </c>
      <c r="S301" s="147">
        <f>IF(SUM(Rankings!$K301:$R301)&gt;0, COUNTIFS(Rankings!$D$2:$D$987, Rankings!$D301, Rankings!$F$2:$F$987, "&lt;"&amp;Rankings!$F301) + COUNTIFS(Rankings!$D$2:$D$987, Rankings!$D301, Rankings!$F$2:$F$987, Rankings!$F301, Rankings!$G$2:$G$987, "&lt;"&amp;Rankings!$G301)+1, "TBD")</f>
        <v>3</v>
      </c>
      <c r="T301" s="225">
        <v>1.0</v>
      </c>
      <c r="U301" s="225" t="b">
        <f>Rankings!$S301=Rankings!$T301</f>
        <v>0</v>
      </c>
      <c r="V301" s="226"/>
      <c r="W301" s="153"/>
    </row>
    <row r="302" ht="15.0" customHeight="1">
      <c r="A302" s="189"/>
      <c r="B302" s="189"/>
      <c r="C302" s="189"/>
      <c r="D302" s="235">
        <f t="shared" si="43"/>
        <v>46006</v>
      </c>
      <c r="E302" s="237" t="str">
        <f>$R$1</f>
        <v>Jake</v>
      </c>
      <c r="F302" s="240">
        <f>IFERROR(AVERAGE(Rankings!$K302:$R302), "TBD")</f>
        <v>5.285714286</v>
      </c>
      <c r="G302" s="240">
        <f>IFERROR(_xlfn.STDEV.P(Rankings!$K302:$R302), "TBD")</f>
        <v>1.030157507</v>
      </c>
      <c r="H302" s="242">
        <f>IFERROR(AVERAGE(Rankings!$K302:$P302), "TBD")</f>
        <v>5.5</v>
      </c>
      <c r="I302" s="243" t="s">
        <v>949</v>
      </c>
      <c r="J302" s="243" t="s">
        <v>554</v>
      </c>
      <c r="K302" s="199">
        <v>5.0</v>
      </c>
      <c r="L302" s="201">
        <v>6.0</v>
      </c>
      <c r="M302" s="201">
        <v>6.0</v>
      </c>
      <c r="N302" s="201">
        <v>4.0</v>
      </c>
      <c r="O302" s="201">
        <v>5.0</v>
      </c>
      <c r="P302" s="201">
        <v>7.0</v>
      </c>
      <c r="Q302" s="122"/>
      <c r="R302" s="244">
        <v>4.0</v>
      </c>
      <c r="S302" s="203">
        <f>IF(SUM(Rankings!$K302:$R302)&gt;0, COUNTIFS(Rankings!$D$2:$D$987, Rankings!$D302, Rankings!$F$2:$F$987, "&lt;"&amp;Rankings!$F302) + COUNTIFS(Rankings!$D$2:$D$987, Rankings!$D302, Rankings!$F$2:$F$987, Rankings!$F302, Rankings!$G$2:$G$987, "&lt;"&amp;Rankings!$G302)+1, "TBD")</f>
        <v>6</v>
      </c>
      <c r="T302" s="247">
        <v>1.0</v>
      </c>
      <c r="U302" s="247" t="b">
        <f>Rankings!$S302=Rankings!$T302</f>
        <v>0</v>
      </c>
      <c r="V302" s="248"/>
      <c r="W302" s="208"/>
    </row>
    <row r="303" ht="15.0" customHeight="1">
      <c r="A303" s="103">
        <v>46008.0</v>
      </c>
      <c r="B303" s="104"/>
      <c r="C303" s="104" t="str">
        <f t="array" ref="C303">INDEX(Rankings!$E303:$E309, MATCH(1, (Rankings!$D303:$D309=$A303)*(Rankings!$U303:$U309=TRUE()), 0))</f>
        <v>Jake</v>
      </c>
      <c r="D303" s="111">
        <f>A303</f>
        <v>46008</v>
      </c>
      <c r="E303" s="113" t="str">
        <f>$K$1</f>
        <v>Logan</v>
      </c>
      <c r="F303" s="115">
        <f>IFERROR(AVERAGE(Rankings!$K303:$R303), "TBD")</f>
        <v>5.142857143</v>
      </c>
      <c r="G303" s="115">
        <f>IFERROR(_xlfn.STDEV.P(Rankings!$K303:$R303), "TBD")</f>
        <v>1.884415137</v>
      </c>
      <c r="H303" s="117">
        <f>IFERROR(AVERAGE(Rankings!$L303:$R303), "TBD")</f>
        <v>5.666666667</v>
      </c>
      <c r="I303" s="119" t="s">
        <v>950</v>
      </c>
      <c r="J303" s="119" t="s">
        <v>951</v>
      </c>
      <c r="K303" s="120">
        <v>2.0</v>
      </c>
      <c r="L303" s="121">
        <v>7.0</v>
      </c>
      <c r="M303" s="121">
        <v>7.0</v>
      </c>
      <c r="N303" s="121">
        <v>5.0</v>
      </c>
      <c r="O303" s="121">
        <v>7.0</v>
      </c>
      <c r="P303" s="121">
        <v>5.0</v>
      </c>
      <c r="Q303" s="122"/>
      <c r="R303" s="216">
        <v>3.0</v>
      </c>
      <c r="S303" s="126">
        <f>IF(SUM(Rankings!$K303:$R303)&gt;0, COUNTIFS(Rankings!$D$2:$D$987, Rankings!$D303, Rankings!$F$2:$F$987, "&lt;"&amp;Rankings!$F303) + COUNTIFS(Rankings!$D$2:$D$987, Rankings!$D303, Rankings!$F$2:$F$987, Rankings!$F303, Rankings!$G$2:$G$987, "&lt;"&amp;Rankings!$G303)+1, "TBD")</f>
        <v>7</v>
      </c>
      <c r="T303" s="217">
        <v>1.0</v>
      </c>
      <c r="U303" s="217" t="b">
        <f>Rankings!$S303=Rankings!$T303</f>
        <v>0</v>
      </c>
      <c r="V303" s="133"/>
      <c r="W303" s="133"/>
    </row>
    <row r="304" ht="15.0" customHeight="1">
      <c r="A304" s="134"/>
      <c r="B304" s="134"/>
      <c r="C304" s="134"/>
      <c r="D304" s="219">
        <f>D303</f>
        <v>46008</v>
      </c>
      <c r="E304" s="138" t="str">
        <f>$L$1</f>
        <v>Parker</v>
      </c>
      <c r="F304" s="220">
        <f>IFERROR(AVERAGE(Rankings!$K304:$R304), "TBD")</f>
        <v>4.428571429</v>
      </c>
      <c r="G304" s="220">
        <f>IFERROR(_xlfn.STDEV.P(Rankings!$K304:$R304), "TBD")</f>
        <v>2.128523489</v>
      </c>
      <c r="H304" s="221">
        <f>IFERROR(AVERAGE(Rankings!$K304, Rankings!$M304:$R304), "TBD")</f>
        <v>5</v>
      </c>
      <c r="I304" s="222" t="s">
        <v>952</v>
      </c>
      <c r="J304" s="222" t="s">
        <v>953</v>
      </c>
      <c r="K304" s="143">
        <v>3.0</v>
      </c>
      <c r="L304" s="144">
        <v>1.0</v>
      </c>
      <c r="M304" s="144">
        <v>6.0</v>
      </c>
      <c r="N304" s="144">
        <v>3.0</v>
      </c>
      <c r="O304" s="144">
        <v>4.0</v>
      </c>
      <c r="P304" s="144">
        <v>7.0</v>
      </c>
      <c r="Q304" s="122"/>
      <c r="R304" s="223">
        <v>7.0</v>
      </c>
      <c r="S304" s="147">
        <f>IF(SUM(Rankings!$K304:$R304)&gt;0, COUNTIFS(Rankings!$D$2:$D$987, Rankings!$D304, Rankings!$F$2:$F$987, "&lt;"&amp;Rankings!$F304) + COUNTIFS(Rankings!$D$2:$D$987, Rankings!$D304, Rankings!$F$2:$F$987, Rankings!$F304, Rankings!$G$2:$G$987, "&lt;"&amp;Rankings!$G304)+1, "TBD")</f>
        <v>6</v>
      </c>
      <c r="T304" s="225">
        <v>1.0</v>
      </c>
      <c r="U304" s="225" t="b">
        <f>Rankings!$S304=Rankings!$T304</f>
        <v>0</v>
      </c>
      <c r="V304" s="226"/>
      <c r="W304" s="153"/>
    </row>
    <row r="305" ht="15.0" customHeight="1">
      <c r="A305" s="134"/>
      <c r="B305" s="134"/>
      <c r="C305" s="134"/>
      <c r="D305" s="219">
        <f>D303</f>
        <v>46008</v>
      </c>
      <c r="E305" s="227" t="str">
        <f>$M$1</f>
        <v>Giacomo</v>
      </c>
      <c r="F305" s="220">
        <f>IFERROR(AVERAGE(Rankings!$K305:$R305), "TBD")</f>
        <v>3.285714286</v>
      </c>
      <c r="G305" s="220">
        <f>IFERROR(_xlfn.STDEV.P(Rankings!$K305:$R305), "TBD")</f>
        <v>1.484614978</v>
      </c>
      <c r="H305" s="221">
        <f>IFERROR(AVERAGE(Rankings!$K305:$L305, Rankings!$N305:$R305), "TBD")</f>
        <v>3.333333333</v>
      </c>
      <c r="I305" s="222" t="s">
        <v>954</v>
      </c>
      <c r="J305" s="222" t="s">
        <v>955</v>
      </c>
      <c r="K305" s="143">
        <v>1.0</v>
      </c>
      <c r="L305" s="144">
        <v>4.0</v>
      </c>
      <c r="M305" s="144">
        <v>3.0</v>
      </c>
      <c r="N305" s="144">
        <v>4.0</v>
      </c>
      <c r="O305" s="144">
        <v>2.0</v>
      </c>
      <c r="P305" s="144">
        <v>3.0</v>
      </c>
      <c r="Q305" s="122"/>
      <c r="R305" s="223">
        <v>6.0</v>
      </c>
      <c r="S305" s="147">
        <f>IF(SUM(Rankings!$K305:$R305)&gt;0, COUNTIFS(Rankings!$D$2:$D$987, Rankings!$D305, Rankings!$F$2:$F$987, "&lt;"&amp;Rankings!$F305) + COUNTIFS(Rankings!$D$2:$D$987, Rankings!$D305, Rankings!$F$2:$F$987, Rankings!$F305, Rankings!$G$2:$G$987, "&lt;"&amp;Rankings!$G305)+1, "TBD")</f>
        <v>2</v>
      </c>
      <c r="T305" s="225">
        <v>1.0</v>
      </c>
      <c r="U305" s="225" t="b">
        <f>Rankings!$S305=Rankings!$T305</f>
        <v>0</v>
      </c>
      <c r="V305" s="226"/>
      <c r="W305" s="153"/>
    </row>
    <row r="306" ht="15.0" customHeight="1">
      <c r="A306" s="134"/>
      <c r="B306" s="134"/>
      <c r="C306" s="134"/>
      <c r="D306" s="219">
        <f>D303</f>
        <v>46008</v>
      </c>
      <c r="E306" s="227" t="str">
        <f>$N$1</f>
        <v>Rosey</v>
      </c>
      <c r="F306" s="220">
        <f>IFERROR(AVERAGE(Rankings!$K306:$R306), "TBD")</f>
        <v>4</v>
      </c>
      <c r="G306" s="220">
        <f>IFERROR(_xlfn.STDEV.P(Rankings!$K306:$R306), "TBD")</f>
        <v>1.690308509</v>
      </c>
      <c r="H306" s="221">
        <f>IFERROR(AVERAGE(Rankings!$K306:$M306, Rankings!$O306:$R306), "TBD")</f>
        <v>4.333333333</v>
      </c>
      <c r="I306" s="222" t="s">
        <v>956</v>
      </c>
      <c r="J306" s="222" t="s">
        <v>957</v>
      </c>
      <c r="K306" s="143">
        <v>4.0</v>
      </c>
      <c r="L306" s="144">
        <v>5.0</v>
      </c>
      <c r="M306" s="144">
        <v>1.0</v>
      </c>
      <c r="N306" s="144">
        <v>2.0</v>
      </c>
      <c r="O306" s="144">
        <v>5.0</v>
      </c>
      <c r="P306" s="144">
        <v>6.0</v>
      </c>
      <c r="Q306" s="122"/>
      <c r="R306" s="223">
        <v>5.0</v>
      </c>
      <c r="S306" s="147">
        <f>IF(SUM(Rankings!$K306:$R306)&gt;0, COUNTIFS(Rankings!$D$2:$D$987, Rankings!$D306, Rankings!$F$2:$F$987, "&lt;"&amp;Rankings!$F306) + COUNTIFS(Rankings!$D$2:$D$987, Rankings!$D306, Rankings!$F$2:$F$987, Rankings!$F306, Rankings!$G$2:$G$987, "&lt;"&amp;Rankings!$G306)+1, "TBD")</f>
        <v>4</v>
      </c>
      <c r="T306" s="225">
        <v>1.0</v>
      </c>
      <c r="U306" s="225" t="b">
        <f>Rankings!$S306=Rankings!$T306</f>
        <v>0</v>
      </c>
      <c r="V306" s="226"/>
      <c r="W306" s="153"/>
    </row>
    <row r="307" ht="15.0" customHeight="1">
      <c r="A307" s="134"/>
      <c r="B307" s="134"/>
      <c r="C307" s="134"/>
      <c r="D307" s="219">
        <f t="shared" ref="D307:D309" si="44">D303</f>
        <v>46008</v>
      </c>
      <c r="E307" s="227" t="str">
        <f>$O$1</f>
        <v>TTAC</v>
      </c>
      <c r="F307" s="220">
        <f>IFERROR(AVERAGE(Rankings!$K307:$R307), "TBD")</f>
        <v>4.142857143</v>
      </c>
      <c r="G307" s="220">
        <f>IFERROR(_xlfn.STDEV.P(Rankings!$K307:$R307), "TBD")</f>
        <v>1.355261854</v>
      </c>
      <c r="H307" s="221">
        <f>IFERROR(AVERAGE(Rankings!$K307:$N307, Rankings!$P307:$R307), "TBD")</f>
        <v>4.333333333</v>
      </c>
      <c r="I307" s="222" t="s">
        <v>958</v>
      </c>
      <c r="J307" s="222" t="s">
        <v>959</v>
      </c>
      <c r="K307" s="143">
        <v>6.0</v>
      </c>
      <c r="L307" s="144">
        <v>2.0</v>
      </c>
      <c r="M307" s="144">
        <v>4.0</v>
      </c>
      <c r="N307" s="144">
        <v>6.0</v>
      </c>
      <c r="O307" s="144">
        <v>3.0</v>
      </c>
      <c r="P307" s="144">
        <v>4.0</v>
      </c>
      <c r="Q307" s="122"/>
      <c r="R307" s="223">
        <v>4.0</v>
      </c>
      <c r="S307" s="147">
        <f>IF(SUM(Rankings!$K307:$R307)&gt;0, COUNTIFS(Rankings!$D$2:$D$987, Rankings!$D307, Rankings!$F$2:$F$987, "&lt;"&amp;Rankings!$F307) + COUNTIFS(Rankings!$D$2:$D$987, Rankings!$D307, Rankings!$F$2:$F$987, Rankings!$F307, Rankings!$G$2:$G$987, "&lt;"&amp;Rankings!$G307)+1, "TBD")</f>
        <v>5</v>
      </c>
      <c r="T307" s="225">
        <v>1.0</v>
      </c>
      <c r="U307" s="225" t="b">
        <f>Rankings!$S307=Rankings!$T307</f>
        <v>0</v>
      </c>
      <c r="V307" s="226"/>
      <c r="W307" s="153"/>
    </row>
    <row r="308" ht="15.0" customHeight="1">
      <c r="A308" s="134"/>
      <c r="B308" s="134"/>
      <c r="C308" s="134"/>
      <c r="D308" s="219">
        <f t="shared" si="44"/>
        <v>46008</v>
      </c>
      <c r="E308" s="227" t="str">
        <f>$P$1</f>
        <v>Weston</v>
      </c>
      <c r="F308" s="220">
        <f>IFERROR(AVERAGE(Rankings!$K308:$R308), "TBD")</f>
        <v>3.857142857</v>
      </c>
      <c r="G308" s="220">
        <f>IFERROR(_xlfn.STDEV.P(Rankings!$K308:$R308), "TBD")</f>
        <v>1.958758457</v>
      </c>
      <c r="H308" s="221">
        <f>IFERROR(AVERAGE(Rankings!$K308:$O308, Rankings!$R308), "TBD")</f>
        <v>4.166666667</v>
      </c>
      <c r="I308" s="222" t="s">
        <v>960</v>
      </c>
      <c r="J308" s="222" t="s">
        <v>961</v>
      </c>
      <c r="K308" s="143">
        <v>5.0</v>
      </c>
      <c r="L308" s="144">
        <v>6.0</v>
      </c>
      <c r="M308" s="144">
        <v>5.0</v>
      </c>
      <c r="N308" s="144">
        <v>1.0</v>
      </c>
      <c r="O308" s="144">
        <v>6.0</v>
      </c>
      <c r="P308" s="144">
        <v>2.0</v>
      </c>
      <c r="Q308" s="122"/>
      <c r="R308" s="223">
        <v>2.0</v>
      </c>
      <c r="S308" s="147">
        <f>IF(SUM(Rankings!$K308:$R308)&gt;0, COUNTIFS(Rankings!$D$2:$D$987, Rankings!$D308, Rankings!$F$2:$F$987, "&lt;"&amp;Rankings!$F308) + COUNTIFS(Rankings!$D$2:$D$987, Rankings!$D308, Rankings!$F$2:$F$987, Rankings!$F308, Rankings!$G$2:$G$987, "&lt;"&amp;Rankings!$G308)+1, "TBD")</f>
        <v>3</v>
      </c>
      <c r="T308" s="225">
        <v>1.0</v>
      </c>
      <c r="U308" s="225" t="b">
        <f>Rankings!$S308=Rankings!$T308</f>
        <v>0</v>
      </c>
      <c r="V308" s="226"/>
      <c r="W308" s="153"/>
    </row>
    <row r="309" ht="15.0" customHeight="1">
      <c r="A309" s="189"/>
      <c r="B309" s="189"/>
      <c r="C309" s="189"/>
      <c r="D309" s="235">
        <f t="shared" si="44"/>
        <v>46008</v>
      </c>
      <c r="E309" s="237" t="str">
        <f>$R$1</f>
        <v>Jake</v>
      </c>
      <c r="F309" s="240">
        <f>IFERROR(AVERAGE(Rankings!$K309:$R309), "TBD")</f>
        <v>3.142857143</v>
      </c>
      <c r="G309" s="240">
        <f>IFERROR(_xlfn.STDEV.P(Rankings!$K309:$R309), "TBD")</f>
        <v>2.531435021</v>
      </c>
      <c r="H309" s="242">
        <f>IFERROR(AVERAGE(Rankings!$K309:$P309), "TBD")</f>
        <v>3.5</v>
      </c>
      <c r="I309" s="243" t="s">
        <v>527</v>
      </c>
      <c r="J309" s="243" t="s">
        <v>962</v>
      </c>
      <c r="K309" s="199">
        <v>7.0</v>
      </c>
      <c r="L309" s="201">
        <v>3.0</v>
      </c>
      <c r="M309" s="201">
        <v>2.0</v>
      </c>
      <c r="N309" s="201">
        <v>7.0</v>
      </c>
      <c r="O309" s="201">
        <v>1.0</v>
      </c>
      <c r="P309" s="201">
        <v>1.0</v>
      </c>
      <c r="Q309" s="122"/>
      <c r="R309" s="244">
        <v>1.0</v>
      </c>
      <c r="S309" s="203">
        <f>IF(SUM(Rankings!$K309:$R309)&gt;0, COUNTIFS(Rankings!$D$2:$D$987, Rankings!$D309, Rankings!$F$2:$F$987, "&lt;"&amp;Rankings!$F309) + COUNTIFS(Rankings!$D$2:$D$987, Rankings!$D309, Rankings!$F$2:$F$987, Rankings!$F309, Rankings!$G$2:$G$987, "&lt;"&amp;Rankings!$G309)+1, "TBD")</f>
        <v>1</v>
      </c>
      <c r="T309" s="247">
        <v>1.0</v>
      </c>
      <c r="U309" s="247" t="b">
        <f>Rankings!$S309=Rankings!$T309</f>
        <v>1</v>
      </c>
      <c r="V309" s="248"/>
      <c r="W309" s="208"/>
    </row>
    <row r="310" ht="15.0" customHeight="1">
      <c r="A310" s="103">
        <v>46010.0</v>
      </c>
      <c r="B310" s="104"/>
      <c r="C310" s="104" t="str">
        <f t="array" ref="C310">INDEX(Rankings!$E310:$E316, MATCH(1, (Rankings!$D310:$D316=$A310)*(Rankings!$U310:$U316=TRUE()), 0))</f>
        <v>Weston</v>
      </c>
      <c r="D310" s="111">
        <f>A310</f>
        <v>46010</v>
      </c>
      <c r="E310" s="113" t="str">
        <f>$K$1</f>
        <v>Logan</v>
      </c>
      <c r="F310" s="115">
        <f>IFERROR(AVERAGE(Rankings!$K310:$R310), "TBD")</f>
        <v>4.714285714</v>
      </c>
      <c r="G310" s="115">
        <f>IFERROR(_xlfn.STDEV.P(Rankings!$K310:$R310), "TBD")</f>
        <v>2.432769481</v>
      </c>
      <c r="H310" s="117">
        <f>IFERROR(AVERAGE(Rankings!$L310:$R310), "TBD")</f>
        <v>5</v>
      </c>
      <c r="I310" s="119" t="s">
        <v>963</v>
      </c>
      <c r="J310" s="119" t="s">
        <v>964</v>
      </c>
      <c r="K310" s="120">
        <v>3.0</v>
      </c>
      <c r="L310" s="121">
        <v>6.0</v>
      </c>
      <c r="M310" s="121">
        <v>7.0</v>
      </c>
      <c r="N310" s="121">
        <v>1.0</v>
      </c>
      <c r="O310" s="121">
        <v>7.0</v>
      </c>
      <c r="P310" s="121">
        <v>7.0</v>
      </c>
      <c r="Q310" s="122"/>
      <c r="R310" s="216">
        <v>2.0</v>
      </c>
      <c r="S310" s="126">
        <f>IF(SUM(Rankings!$K310:$R310)&gt;0, COUNTIFS(Rankings!$D$2:$D$987, Rankings!$D310, Rankings!$F$2:$F$987, "&lt;"&amp;Rankings!$F310) + COUNTIFS(Rankings!$D$2:$D$987, Rankings!$D310, Rankings!$F$2:$F$987, Rankings!$F310, Rankings!$G$2:$G$987, "&lt;"&amp;Rankings!$G310)+1, "TBD")</f>
        <v>6</v>
      </c>
      <c r="T310" s="217">
        <v>1.0</v>
      </c>
      <c r="U310" s="217" t="b">
        <f>Rankings!$S310=Rankings!$T310</f>
        <v>0</v>
      </c>
      <c r="V310" s="259"/>
      <c r="W310" s="259" t="s">
        <v>965</v>
      </c>
    </row>
    <row r="311" ht="15.0" customHeight="1">
      <c r="A311" s="134"/>
      <c r="B311" s="134"/>
      <c r="C311" s="134"/>
      <c r="D311" s="219">
        <f>D310</f>
        <v>46010</v>
      </c>
      <c r="E311" s="138" t="str">
        <f>$L$1</f>
        <v>Parker</v>
      </c>
      <c r="F311" s="220">
        <f>IFERROR(AVERAGE(Rankings!$K311:$R311), "TBD")</f>
        <v>3.571428571</v>
      </c>
      <c r="G311" s="220">
        <f>IFERROR(_xlfn.STDEV.P(Rankings!$K311:$R311), "TBD")</f>
        <v>1.989769754</v>
      </c>
      <c r="H311" s="221">
        <f>IFERROR(AVERAGE(Rankings!$K311, Rankings!$M311:$R311), "TBD")</f>
        <v>4</v>
      </c>
      <c r="I311" s="222" t="s">
        <v>966</v>
      </c>
      <c r="J311" s="222" t="s">
        <v>967</v>
      </c>
      <c r="K311" s="143">
        <v>2.0</v>
      </c>
      <c r="L311" s="144">
        <v>1.0</v>
      </c>
      <c r="M311" s="144">
        <v>5.0</v>
      </c>
      <c r="N311" s="144">
        <v>6.0</v>
      </c>
      <c r="O311" s="144">
        <v>1.0</v>
      </c>
      <c r="P311" s="144">
        <v>5.0</v>
      </c>
      <c r="Q311" s="122"/>
      <c r="R311" s="223">
        <v>5.0</v>
      </c>
      <c r="S311" s="147">
        <f>IF(SUM(Rankings!$K311:$R311)&gt;0, COUNTIFS(Rankings!$D$2:$D$987, Rankings!$D311, Rankings!$F$2:$F$987, "&lt;"&amp;Rankings!$F311) + COUNTIFS(Rankings!$D$2:$D$987, Rankings!$D311, Rankings!$F$2:$F$987, Rankings!$F311, Rankings!$G$2:$G$987, "&lt;"&amp;Rankings!$G311)+1, "TBD")</f>
        <v>3</v>
      </c>
      <c r="T311" s="225">
        <v>1.0</v>
      </c>
      <c r="U311" s="225" t="b">
        <f>Rankings!$S311=Rankings!$T311</f>
        <v>0</v>
      </c>
      <c r="V311" s="260"/>
      <c r="W311" s="153"/>
    </row>
    <row r="312" ht="15.0" customHeight="1">
      <c r="A312" s="134"/>
      <c r="B312" s="134"/>
      <c r="C312" s="134"/>
      <c r="D312" s="219">
        <f>D310</f>
        <v>46010</v>
      </c>
      <c r="E312" s="227" t="str">
        <f>$M$1</f>
        <v>Giacomo</v>
      </c>
      <c r="F312" s="220">
        <f>IFERROR(AVERAGE(Rankings!$K312:$R312), "TBD")</f>
        <v>4.428571429</v>
      </c>
      <c r="G312" s="220">
        <f>IFERROR(_xlfn.STDEV.P(Rankings!$K312:$R312), "TBD")</f>
        <v>2.060315015</v>
      </c>
      <c r="H312" s="221">
        <f>IFERROR(AVERAGE(Rankings!$K312:$L312, Rankings!$N312:$R312), "TBD")</f>
        <v>4.833333333</v>
      </c>
      <c r="I312" s="222" t="s">
        <v>968</v>
      </c>
      <c r="J312" s="222" t="s">
        <v>969</v>
      </c>
      <c r="K312" s="143">
        <v>7.0</v>
      </c>
      <c r="L312" s="144">
        <v>2.0</v>
      </c>
      <c r="M312" s="144">
        <v>2.0</v>
      </c>
      <c r="N312" s="144">
        <v>7.0</v>
      </c>
      <c r="O312" s="144">
        <v>4.0</v>
      </c>
      <c r="P312" s="144">
        <v>3.0</v>
      </c>
      <c r="Q312" s="122"/>
      <c r="R312" s="223">
        <v>6.0</v>
      </c>
      <c r="S312" s="147">
        <f>IF(SUM(Rankings!$K312:$R312)&gt;0, COUNTIFS(Rankings!$D$2:$D$987, Rankings!$D312, Rankings!$F$2:$F$987, "&lt;"&amp;Rankings!$F312) + COUNTIFS(Rankings!$D$2:$D$987, Rankings!$D312, Rankings!$F$2:$F$987, Rankings!$F312, Rankings!$G$2:$G$987, "&lt;"&amp;Rankings!$G312)+1, "TBD")</f>
        <v>5</v>
      </c>
      <c r="T312" s="225">
        <v>1.0</v>
      </c>
      <c r="U312" s="225" t="b">
        <f>Rankings!$S312=Rankings!$T312</f>
        <v>0</v>
      </c>
      <c r="V312" s="260"/>
      <c r="W312" s="153"/>
    </row>
    <row r="313" ht="15.0" customHeight="1">
      <c r="A313" s="134"/>
      <c r="B313" s="134"/>
      <c r="C313" s="134"/>
      <c r="D313" s="219">
        <f>D310</f>
        <v>46010</v>
      </c>
      <c r="E313" s="227" t="str">
        <f>$N$1</f>
        <v>Rosey</v>
      </c>
      <c r="F313" s="220">
        <f>IFERROR(AVERAGE(Rankings!$K313:$R313), "TBD")</f>
        <v>4.285714286</v>
      </c>
      <c r="G313" s="220">
        <f>IFERROR(_xlfn.STDEV.P(Rankings!$K313:$R313), "TBD")</f>
        <v>1.665986256</v>
      </c>
      <c r="H313" s="221">
        <f>IFERROR(AVERAGE(Rankings!$K313:$M313, Rankings!$O313:$R313), "TBD")</f>
        <v>4.5</v>
      </c>
      <c r="I313" s="392" t="s">
        <v>970</v>
      </c>
      <c r="J313" s="222" t="s">
        <v>971</v>
      </c>
      <c r="K313" s="143">
        <v>5.0</v>
      </c>
      <c r="L313" s="144">
        <v>7.0</v>
      </c>
      <c r="M313" s="144">
        <v>6.0</v>
      </c>
      <c r="N313" s="144">
        <v>3.0</v>
      </c>
      <c r="O313" s="144">
        <v>3.0</v>
      </c>
      <c r="P313" s="144">
        <v>2.0</v>
      </c>
      <c r="Q313" s="122"/>
      <c r="R313" s="223">
        <v>4.0</v>
      </c>
      <c r="S313" s="147">
        <f>IF(SUM(Rankings!$K313:$R313)&gt;0, COUNTIFS(Rankings!$D$2:$D$987, Rankings!$D313, Rankings!$F$2:$F$987, "&lt;"&amp;Rankings!$F313) + COUNTIFS(Rankings!$D$2:$D$987, Rankings!$D313, Rankings!$F$2:$F$987, Rankings!$F313, Rankings!$G$2:$G$987, "&lt;"&amp;Rankings!$G313)+1, "TBD")</f>
        <v>4</v>
      </c>
      <c r="T313" s="225">
        <v>1.0</v>
      </c>
      <c r="U313" s="225" t="b">
        <f>Rankings!$S313=Rankings!$T313</f>
        <v>0</v>
      </c>
      <c r="V313" s="260"/>
      <c r="W313" s="153"/>
    </row>
    <row r="314" ht="15.0" customHeight="1">
      <c r="A314" s="134"/>
      <c r="B314" s="134"/>
      <c r="C314" s="134"/>
      <c r="D314" s="219">
        <f t="shared" ref="D314:D316" si="45">D310</f>
        <v>46010</v>
      </c>
      <c r="E314" s="227" t="str">
        <f>$O$1</f>
        <v>TTAC</v>
      </c>
      <c r="F314" s="220">
        <f>IFERROR(AVERAGE(Rankings!$K314:$R314), "TBD")</f>
        <v>5</v>
      </c>
      <c r="G314" s="220">
        <f>IFERROR(_xlfn.STDEV.P(Rankings!$K314:$R314), "TBD")</f>
        <v>1.511857892</v>
      </c>
      <c r="H314" s="221">
        <f>IFERROR(AVERAGE(Rankings!$K314:$N314, Rankings!$P314:$R314), "TBD")</f>
        <v>5.5</v>
      </c>
      <c r="I314" s="222" t="s">
        <v>972</v>
      </c>
      <c r="J314" s="222" t="s">
        <v>973</v>
      </c>
      <c r="K314" s="143">
        <v>6.0</v>
      </c>
      <c r="L314" s="144">
        <v>5.0</v>
      </c>
      <c r="M314" s="144">
        <v>4.0</v>
      </c>
      <c r="N314" s="144">
        <v>5.0</v>
      </c>
      <c r="O314" s="144">
        <v>2.0</v>
      </c>
      <c r="P314" s="144">
        <v>6.0</v>
      </c>
      <c r="Q314" s="122"/>
      <c r="R314" s="223">
        <v>7.0</v>
      </c>
      <c r="S314" s="147">
        <f>IF(SUM(Rankings!$K314:$R314)&gt;0, COUNTIFS(Rankings!$D$2:$D$987, Rankings!$D314, Rankings!$F$2:$F$987, "&lt;"&amp;Rankings!$F314) + COUNTIFS(Rankings!$D$2:$D$987, Rankings!$D314, Rankings!$F$2:$F$987, Rankings!$F314, Rankings!$G$2:$G$987, "&lt;"&amp;Rankings!$G314)+1, "TBD")</f>
        <v>7</v>
      </c>
      <c r="T314" s="225">
        <v>1.0</v>
      </c>
      <c r="U314" s="225" t="b">
        <f>Rankings!$S314=Rankings!$T314</f>
        <v>0</v>
      </c>
      <c r="V314" s="260"/>
      <c r="W314" s="153"/>
    </row>
    <row r="315" ht="15.0" customHeight="1">
      <c r="A315" s="134"/>
      <c r="B315" s="134"/>
      <c r="C315" s="134"/>
      <c r="D315" s="219">
        <f t="shared" si="45"/>
        <v>46010</v>
      </c>
      <c r="E315" s="227" t="str">
        <f>$P$1</f>
        <v>Weston</v>
      </c>
      <c r="F315" s="220">
        <f>IFERROR(AVERAGE(Rankings!$K315:$R315), "TBD")</f>
        <v>2.428571429</v>
      </c>
      <c r="G315" s="220">
        <f>IFERROR(_xlfn.STDEV.P(Rankings!$K315:$R315), "TBD")</f>
        <v>1.678191446</v>
      </c>
      <c r="H315" s="221">
        <f>IFERROR(AVERAGE(Rankings!$K315:$O315, Rankings!$R315), "TBD")</f>
        <v>2.666666667</v>
      </c>
      <c r="I315" s="222" t="s">
        <v>519</v>
      </c>
      <c r="J315" s="222" t="s">
        <v>974</v>
      </c>
      <c r="K315" s="143">
        <v>1.0</v>
      </c>
      <c r="L315" s="144">
        <v>3.0</v>
      </c>
      <c r="M315" s="144">
        <v>1.0</v>
      </c>
      <c r="N315" s="144">
        <v>2.0</v>
      </c>
      <c r="O315" s="144">
        <v>6.0</v>
      </c>
      <c r="P315" s="144">
        <v>1.0</v>
      </c>
      <c r="Q315" s="122"/>
      <c r="R315" s="223">
        <v>3.0</v>
      </c>
      <c r="S315" s="147">
        <f>IF(SUM(Rankings!$K315:$R315)&gt;0, COUNTIFS(Rankings!$D$2:$D$987, Rankings!$D315, Rankings!$F$2:$F$987, "&lt;"&amp;Rankings!$F315) + COUNTIFS(Rankings!$D$2:$D$987, Rankings!$D315, Rankings!$F$2:$F$987, Rankings!$F315, Rankings!$G$2:$G$987, "&lt;"&amp;Rankings!$G315)+1, "TBD")</f>
        <v>1</v>
      </c>
      <c r="T315" s="225">
        <v>1.0</v>
      </c>
      <c r="U315" s="225" t="b">
        <f>Rankings!$S315=Rankings!$T315</f>
        <v>1</v>
      </c>
      <c r="V315" s="260"/>
      <c r="W315" s="153"/>
    </row>
    <row r="316" ht="15.0" customHeight="1">
      <c r="A316" s="189"/>
      <c r="B316" s="189"/>
      <c r="C316" s="189"/>
      <c r="D316" s="235">
        <f t="shared" si="45"/>
        <v>46010</v>
      </c>
      <c r="E316" s="237" t="str">
        <f>$R$1</f>
        <v>Jake</v>
      </c>
      <c r="F316" s="240">
        <f>IFERROR(AVERAGE(Rankings!$K316:$R316), "TBD")</f>
        <v>3.571428571</v>
      </c>
      <c r="G316" s="240">
        <f>IFERROR(_xlfn.STDEV.P(Rankings!$K316:$R316), "TBD")</f>
        <v>1.178030179</v>
      </c>
      <c r="H316" s="242">
        <f>IFERROR(AVERAGE(Rankings!$K316:$P316), "TBD")</f>
        <v>4</v>
      </c>
      <c r="I316" s="243" t="s">
        <v>975</v>
      </c>
      <c r="J316" s="243" t="s">
        <v>976</v>
      </c>
      <c r="K316" s="199">
        <v>4.0</v>
      </c>
      <c r="L316" s="201">
        <v>4.0</v>
      </c>
      <c r="M316" s="201">
        <v>3.0</v>
      </c>
      <c r="N316" s="201">
        <v>4.0</v>
      </c>
      <c r="O316" s="201">
        <v>5.0</v>
      </c>
      <c r="P316" s="201">
        <v>4.0</v>
      </c>
      <c r="Q316" s="122"/>
      <c r="R316" s="244">
        <v>1.0</v>
      </c>
      <c r="S316" s="203">
        <f>IF(SUM(Rankings!$K316:$R316)&gt;0, COUNTIFS(Rankings!$D$2:$D$987, Rankings!$D316, Rankings!$F$2:$F$987, "&lt;"&amp;Rankings!$F316) + COUNTIFS(Rankings!$D$2:$D$987, Rankings!$D316, Rankings!$F$2:$F$987, Rankings!$F316, Rankings!$G$2:$G$987, "&lt;"&amp;Rankings!$G316)+1, "TBD")</f>
        <v>2</v>
      </c>
      <c r="T316" s="247">
        <v>1.0</v>
      </c>
      <c r="U316" s="247" t="b">
        <f>Rankings!$S316=Rankings!$T316</f>
        <v>0</v>
      </c>
      <c r="V316" s="261"/>
      <c r="W316" s="208"/>
    </row>
    <row r="317" ht="15.0" customHeight="1">
      <c r="A317" s="103">
        <v>46013.0</v>
      </c>
      <c r="B317" s="104"/>
      <c r="C317" s="104" t="str">
        <f t="array" ref="C317">INDEX(Rankings!$E317:$E323, MATCH(1, (Rankings!$D317:$D323=$A317)*(Rankings!$U317:$U323=TRUE()), 0))</f>
        <v>Giacomo</v>
      </c>
      <c r="D317" s="111">
        <f>A317</f>
        <v>46013</v>
      </c>
      <c r="E317" s="113" t="str">
        <f>$K$1</f>
        <v>Logan</v>
      </c>
      <c r="F317" s="115">
        <f>IFERROR(AVERAGE(Rankings!$K317:$R317), "TBD")</f>
        <v>5.333333333</v>
      </c>
      <c r="G317" s="115">
        <f>IFERROR(_xlfn.STDEV.P(Rankings!$K317:$R317), "TBD")</f>
        <v>1.885618083</v>
      </c>
      <c r="H317" s="117">
        <f>IFERROR(AVERAGE(Rankings!$L317:$R317), "TBD")</f>
        <v>5.6</v>
      </c>
      <c r="I317" s="119" t="s">
        <v>977</v>
      </c>
      <c r="J317" s="119" t="s">
        <v>978</v>
      </c>
      <c r="K317" s="120">
        <v>4.0</v>
      </c>
      <c r="L317" s="121">
        <v>7.0</v>
      </c>
      <c r="M317" s="121">
        <v>7.0</v>
      </c>
      <c r="N317" s="121">
        <v>5.0</v>
      </c>
      <c r="O317" s="121">
        <v>2.0</v>
      </c>
      <c r="P317" s="121">
        <v>7.0</v>
      </c>
      <c r="Q317" s="122"/>
      <c r="R317" s="393"/>
      <c r="S317" s="126">
        <f>IF(SUM(Rankings!$K317:$R317)&gt;0, COUNTIFS(Rankings!$D$2:$D$987, Rankings!$D317, Rankings!$F$2:$F$987, "&lt;"&amp;Rankings!$F317) + COUNTIFS(Rankings!$D$2:$D$987, Rankings!$D317, Rankings!$F$2:$F$987, Rankings!$F317, Rankings!$G$2:$G$987, "&lt;"&amp;Rankings!$G317)+1, "TBD")</f>
        <v>7</v>
      </c>
      <c r="T317" s="217">
        <v>1.0</v>
      </c>
      <c r="U317" s="217" t="b">
        <f>Rankings!$S317=Rankings!$T317</f>
        <v>0</v>
      </c>
      <c r="V317" s="133"/>
      <c r="W317" s="133"/>
    </row>
    <row r="318" ht="15.0" customHeight="1">
      <c r="A318" s="134"/>
      <c r="B318" s="134"/>
      <c r="C318" s="134"/>
      <c r="D318" s="219">
        <f>D317</f>
        <v>46013</v>
      </c>
      <c r="E318" s="138" t="str">
        <f>$L$1</f>
        <v>Parker</v>
      </c>
      <c r="F318" s="220">
        <f>IFERROR(AVERAGE(Rankings!$K318:$R318), "TBD")</f>
        <v>3.666666667</v>
      </c>
      <c r="G318" s="220">
        <f>IFERROR(_xlfn.STDEV.P(Rankings!$K318:$R318), "TBD")</f>
        <v>1.374368542</v>
      </c>
      <c r="H318" s="221">
        <f>IFERROR(AVERAGE(Rankings!$K318, Rankings!$M318:$R318), "TBD")</f>
        <v>4</v>
      </c>
      <c r="I318" s="222" t="s">
        <v>979</v>
      </c>
      <c r="J318" s="222" t="s">
        <v>980</v>
      </c>
      <c r="K318" s="143">
        <v>5.0</v>
      </c>
      <c r="L318" s="144">
        <v>2.0</v>
      </c>
      <c r="M318" s="144">
        <v>2.0</v>
      </c>
      <c r="N318" s="144">
        <v>3.0</v>
      </c>
      <c r="O318" s="144">
        <v>5.0</v>
      </c>
      <c r="P318" s="144">
        <v>5.0</v>
      </c>
      <c r="Q318" s="394"/>
      <c r="R318" s="395"/>
      <c r="S318" s="147">
        <f>IF(SUM(Rankings!$K318:$R318)&gt;0, COUNTIFS(Rankings!$D$2:$D$987, Rankings!$D318, Rankings!$F$2:$F$987, "&lt;"&amp;Rankings!$F318) + COUNTIFS(Rankings!$D$2:$D$987, Rankings!$D318, Rankings!$F$2:$F$987, Rankings!$F318, Rankings!$G$2:$G$987, "&lt;"&amp;Rankings!$G318)+1, "TBD")</f>
        <v>4</v>
      </c>
      <c r="T318" s="225">
        <v>1.0</v>
      </c>
      <c r="U318" s="225" t="b">
        <f>Rankings!$S318=Rankings!$T318</f>
        <v>0</v>
      </c>
      <c r="V318" s="226"/>
      <c r="W318" s="153"/>
    </row>
    <row r="319" ht="15.0" customHeight="1">
      <c r="A319" s="134"/>
      <c r="B319" s="134"/>
      <c r="C319" s="134"/>
      <c r="D319" s="219">
        <f>D317</f>
        <v>46013</v>
      </c>
      <c r="E319" s="227" t="str">
        <f>$M$1</f>
        <v>Giacomo</v>
      </c>
      <c r="F319" s="220">
        <f>IFERROR(AVERAGE(Rankings!$K319:$R319), "TBD")</f>
        <v>2.666666667</v>
      </c>
      <c r="G319" s="220">
        <f>IFERROR(_xlfn.STDEV.P(Rankings!$K319:$R319), "TBD")</f>
        <v>1.247219129</v>
      </c>
      <c r="H319" s="221">
        <f>IFERROR(AVERAGE(Rankings!$K319:$L319, Rankings!$N319:$R319), "TBD")</f>
        <v>2.6</v>
      </c>
      <c r="I319" s="222" t="s">
        <v>529</v>
      </c>
      <c r="J319" s="222" t="s">
        <v>981</v>
      </c>
      <c r="K319" s="143">
        <v>3.0</v>
      </c>
      <c r="L319" s="144">
        <v>1.0</v>
      </c>
      <c r="M319" s="144">
        <v>3.0</v>
      </c>
      <c r="N319" s="144">
        <v>4.0</v>
      </c>
      <c r="O319" s="144">
        <v>1.0</v>
      </c>
      <c r="P319" s="144">
        <v>4.0</v>
      </c>
      <c r="Q319" s="394"/>
      <c r="R319" s="395"/>
      <c r="S319" s="147">
        <f>IF(SUM(Rankings!$K319:$R319)&gt;0, COUNTIFS(Rankings!$D$2:$D$987, Rankings!$D319, Rankings!$F$2:$F$987, "&lt;"&amp;Rankings!$F319) + COUNTIFS(Rankings!$D$2:$D$987, Rankings!$D319, Rankings!$F$2:$F$987, Rankings!$F319, Rankings!$G$2:$G$987, "&lt;"&amp;Rankings!$G319)+1, "TBD")</f>
        <v>1</v>
      </c>
      <c r="T319" s="225">
        <v>1.0</v>
      </c>
      <c r="U319" s="225" t="b">
        <f>Rankings!$S319=Rankings!$T319</f>
        <v>1</v>
      </c>
      <c r="V319" s="226"/>
      <c r="W319" s="153"/>
    </row>
    <row r="320" ht="15.0" customHeight="1">
      <c r="A320" s="134"/>
      <c r="B320" s="134"/>
      <c r="C320" s="134"/>
      <c r="D320" s="219">
        <f>D317</f>
        <v>46013</v>
      </c>
      <c r="E320" s="227" t="str">
        <f>$N$1</f>
        <v>Rosey</v>
      </c>
      <c r="F320" s="220">
        <f>IFERROR(AVERAGE(Rankings!$K320:$R320), "TBD")</f>
        <v>3.166666667</v>
      </c>
      <c r="G320" s="220">
        <f>IFERROR(_xlfn.STDEV.P(Rankings!$K320:$R320), "TBD")</f>
        <v>2.409472049</v>
      </c>
      <c r="H320" s="221">
        <f>IFERROR(AVERAGE(Rankings!$K320:$M320, Rankings!$O320:$R320), "TBD")</f>
        <v>3.6</v>
      </c>
      <c r="I320" s="222" t="s">
        <v>982</v>
      </c>
      <c r="J320" s="222" t="s">
        <v>983</v>
      </c>
      <c r="K320" s="143">
        <v>2.0</v>
      </c>
      <c r="L320" s="144">
        <v>6.0</v>
      </c>
      <c r="M320" s="144">
        <v>1.0</v>
      </c>
      <c r="N320" s="144">
        <v>1.0</v>
      </c>
      <c r="O320" s="144">
        <v>7.0</v>
      </c>
      <c r="P320" s="144">
        <v>2.0</v>
      </c>
      <c r="Q320" s="394"/>
      <c r="R320" s="395"/>
      <c r="S320" s="147">
        <f>IF(SUM(Rankings!$K320:$R320)&gt;0, COUNTIFS(Rankings!$D$2:$D$987, Rankings!$D320, Rankings!$F$2:$F$987, "&lt;"&amp;Rankings!$F320) + COUNTIFS(Rankings!$D$2:$D$987, Rankings!$D320, Rankings!$F$2:$F$987, Rankings!$F320, Rankings!$G$2:$G$987, "&lt;"&amp;Rankings!$G320)+1, "TBD")</f>
        <v>3</v>
      </c>
      <c r="T320" s="225">
        <v>1.0</v>
      </c>
      <c r="U320" s="225" t="b">
        <f>Rankings!$S320=Rankings!$T320</f>
        <v>0</v>
      </c>
      <c r="V320" s="226"/>
      <c r="W320" s="153"/>
    </row>
    <row r="321" ht="15.0" customHeight="1">
      <c r="A321" s="134"/>
      <c r="B321" s="134"/>
      <c r="C321" s="134"/>
      <c r="D321" s="219">
        <f t="shared" ref="D321:D323" si="46">D317</f>
        <v>46013</v>
      </c>
      <c r="E321" s="227" t="str">
        <f>$O$1</f>
        <v>TTAC</v>
      </c>
      <c r="F321" s="220">
        <f>IFERROR(AVERAGE(Rankings!$K321:$R321), "TBD")</f>
        <v>5.333333333</v>
      </c>
      <c r="G321" s="220">
        <f>IFERROR(_xlfn.STDEV.P(Rankings!$K321:$R321), "TBD")</f>
        <v>1.374368542</v>
      </c>
      <c r="H321" s="221">
        <f>IFERROR(AVERAGE(Rankings!$K321:$N321, Rankings!$P321:$R321), "TBD")</f>
        <v>5.6</v>
      </c>
      <c r="I321" s="222" t="s">
        <v>984</v>
      </c>
      <c r="J321" s="222" t="s">
        <v>985</v>
      </c>
      <c r="K321" s="143">
        <v>7.0</v>
      </c>
      <c r="L321" s="144">
        <v>4.0</v>
      </c>
      <c r="M321" s="144">
        <v>4.0</v>
      </c>
      <c r="N321" s="144">
        <v>7.0</v>
      </c>
      <c r="O321" s="144">
        <v>4.0</v>
      </c>
      <c r="P321" s="144">
        <v>6.0</v>
      </c>
      <c r="Q321" s="394"/>
      <c r="R321" s="395"/>
      <c r="S321" s="147">
        <f>IF(SUM(Rankings!$K321:$R321)&gt;0, COUNTIFS(Rankings!$D$2:$D$987, Rankings!$D321, Rankings!$F$2:$F$987, "&lt;"&amp;Rankings!$F321) + COUNTIFS(Rankings!$D$2:$D$987, Rankings!$D321, Rankings!$F$2:$F$987, Rankings!$F321, Rankings!$G$2:$G$987, "&lt;"&amp;Rankings!$G321)+1, "TBD")</f>
        <v>6</v>
      </c>
      <c r="T321" s="225">
        <v>1.0</v>
      </c>
      <c r="U321" s="225" t="b">
        <f>Rankings!$S321=Rankings!$T321</f>
        <v>0</v>
      </c>
      <c r="V321" s="226"/>
      <c r="W321" s="153"/>
    </row>
    <row r="322" ht="15.0" customHeight="1">
      <c r="A322" s="134"/>
      <c r="B322" s="134"/>
      <c r="C322" s="134"/>
      <c r="D322" s="219">
        <f t="shared" si="46"/>
        <v>46013</v>
      </c>
      <c r="E322" s="227" t="str">
        <f>$P$1</f>
        <v>Weston</v>
      </c>
      <c r="F322" s="220">
        <f>IFERROR(AVERAGE(Rankings!$K322:$R322), "TBD")</f>
        <v>4.833333333</v>
      </c>
      <c r="G322" s="220">
        <f>IFERROR(_xlfn.STDEV.P(Rankings!$K322:$R322), "TBD")</f>
        <v>1.771690969</v>
      </c>
      <c r="H322" s="221">
        <f>IFERROR(AVERAGE(Rankings!$K322:$O322, Rankings!$R322), "TBD")</f>
        <v>5.6</v>
      </c>
      <c r="I322" s="222" t="s">
        <v>986</v>
      </c>
      <c r="J322" s="222" t="s">
        <v>987</v>
      </c>
      <c r="K322" s="143">
        <v>6.0</v>
      </c>
      <c r="L322" s="144">
        <v>5.0</v>
      </c>
      <c r="M322" s="144">
        <v>5.0</v>
      </c>
      <c r="N322" s="144">
        <v>6.0</v>
      </c>
      <c r="O322" s="144">
        <v>6.0</v>
      </c>
      <c r="P322" s="144">
        <v>1.0</v>
      </c>
      <c r="Q322" s="394"/>
      <c r="R322" s="395"/>
      <c r="S322" s="147">
        <f>IF(SUM(Rankings!$K322:$R322)&gt;0, COUNTIFS(Rankings!$D$2:$D$987, Rankings!$D322, Rankings!$F$2:$F$987, "&lt;"&amp;Rankings!$F322) + COUNTIFS(Rankings!$D$2:$D$987, Rankings!$D322, Rankings!$F$2:$F$987, Rankings!$F322, Rankings!$G$2:$G$987, "&lt;"&amp;Rankings!$G322)+1, "TBD")</f>
        <v>5</v>
      </c>
      <c r="T322" s="225">
        <v>1.0</v>
      </c>
      <c r="U322" s="225" t="b">
        <f>Rankings!$S322=Rankings!$T322</f>
        <v>0</v>
      </c>
      <c r="V322" s="226"/>
      <c r="W322" s="153"/>
    </row>
    <row r="323" ht="15.0" customHeight="1">
      <c r="A323" s="189"/>
      <c r="B323" s="189"/>
      <c r="C323" s="189"/>
      <c r="D323" s="235">
        <f t="shared" si="46"/>
        <v>46013</v>
      </c>
      <c r="E323" s="237" t="str">
        <f>$R$1</f>
        <v>Jake</v>
      </c>
      <c r="F323" s="240">
        <f>IFERROR(AVERAGE(Rankings!$K323:$R323), "TBD")</f>
        <v>3</v>
      </c>
      <c r="G323" s="240">
        <f>IFERROR(_xlfn.STDEV.P(Rankings!$K323:$R323), "TBD")</f>
        <v>1.527525232</v>
      </c>
      <c r="H323" s="242">
        <f>IFERROR(AVERAGE(Rankings!$K323:$P323), "TBD")</f>
        <v>3</v>
      </c>
      <c r="I323" s="243" t="s">
        <v>988</v>
      </c>
      <c r="J323" s="243" t="s">
        <v>989</v>
      </c>
      <c r="K323" s="199">
        <v>1.0</v>
      </c>
      <c r="L323" s="201">
        <v>3.0</v>
      </c>
      <c r="M323" s="201">
        <v>6.0</v>
      </c>
      <c r="N323" s="201">
        <v>2.0</v>
      </c>
      <c r="O323" s="201">
        <v>3.0</v>
      </c>
      <c r="P323" s="201">
        <v>3.0</v>
      </c>
      <c r="Q323" s="396"/>
      <c r="R323" s="397"/>
      <c r="S323" s="203">
        <f>IF(SUM(Rankings!$K323:$R323)&gt;0, COUNTIFS(Rankings!$D$2:$D$987, Rankings!$D323, Rankings!$F$2:$F$987, "&lt;"&amp;Rankings!$F323) + COUNTIFS(Rankings!$D$2:$D$987, Rankings!$D323, Rankings!$F$2:$F$987, Rankings!$F323, Rankings!$G$2:$G$987, "&lt;"&amp;Rankings!$G323)+1, "TBD")</f>
        <v>2</v>
      </c>
      <c r="T323" s="247">
        <v>1.0</v>
      </c>
      <c r="U323" s="247" t="b">
        <f>Rankings!$S323=Rankings!$T323</f>
        <v>0</v>
      </c>
      <c r="V323" s="248"/>
      <c r="W323" s="208"/>
    </row>
    <row r="324" ht="15.0" customHeight="1">
      <c r="A324" s="103">
        <v>46015.0</v>
      </c>
      <c r="B324" s="104"/>
      <c r="C324" s="104" t="str">
        <f t="array" ref="C324">INDEX(Rankings!$E324:$E330, MATCH(1, (Rankings!$D324:$D330=$A324)*(Rankings!$U324:$U330=TRUE()), 0))</f>
        <v>Rosey</v>
      </c>
      <c r="D324" s="111">
        <f>A324</f>
        <v>46015</v>
      </c>
      <c r="E324" s="113" t="str">
        <f>$K$1</f>
        <v>Logan</v>
      </c>
      <c r="F324" s="115">
        <f>IFERROR(AVERAGE(Rankings!$K324:$R324), "TBD")</f>
        <v>4.5</v>
      </c>
      <c r="G324" s="115">
        <f>IFERROR(_xlfn.STDEV.P(Rankings!$K324:$R324), "TBD")</f>
        <v>1.802775638</v>
      </c>
      <c r="H324" s="117">
        <f>IFERROR(AVERAGE(Rankings!$L324:$R324), "TBD")</f>
        <v>5.2</v>
      </c>
      <c r="I324" s="119" t="s">
        <v>990</v>
      </c>
      <c r="J324" s="119" t="s">
        <v>991</v>
      </c>
      <c r="K324" s="120">
        <v>1.0</v>
      </c>
      <c r="L324" s="121">
        <v>4.0</v>
      </c>
      <c r="M324" s="121">
        <v>6.0</v>
      </c>
      <c r="N324" s="121">
        <v>4.0</v>
      </c>
      <c r="O324" s="121">
        <v>6.0</v>
      </c>
      <c r="P324" s="121">
        <v>6.0</v>
      </c>
      <c r="Q324" s="122"/>
      <c r="R324" s="393"/>
      <c r="S324" s="126">
        <f>IF(SUM(Rankings!$K324:$R324)&gt;0, COUNTIFS(Rankings!$D$2:$D$987, Rankings!$D324, Rankings!$F$2:$F$987, "&lt;"&amp;Rankings!$F324) + COUNTIFS(Rankings!$D$2:$D$987, Rankings!$D324, Rankings!$F$2:$F$987, Rankings!$F324, Rankings!$G$2:$G$987, "&lt;"&amp;Rankings!$G324)+1, "TBD")</f>
        <v>5</v>
      </c>
      <c r="T324" s="217">
        <v>1.0</v>
      </c>
      <c r="U324" s="217" t="b">
        <f>Rankings!$S324=Rankings!$T324</f>
        <v>0</v>
      </c>
      <c r="V324" s="259"/>
      <c r="W324" s="259" t="s">
        <v>992</v>
      </c>
    </row>
    <row r="325" ht="15.0" customHeight="1">
      <c r="A325" s="134"/>
      <c r="B325" s="134"/>
      <c r="C325" s="134"/>
      <c r="D325" s="219">
        <f>D324</f>
        <v>46015</v>
      </c>
      <c r="E325" s="138" t="str">
        <f>$L$1</f>
        <v>Parker</v>
      </c>
      <c r="F325" s="220">
        <f>IFERROR(AVERAGE(Rankings!$K325:$R325), "TBD")</f>
        <v>3.5</v>
      </c>
      <c r="G325" s="220">
        <f>IFERROR(_xlfn.STDEV.P(Rankings!$K325:$R325), "TBD")</f>
        <v>1.118033989</v>
      </c>
      <c r="H325" s="221">
        <f>IFERROR(AVERAGE(Rankings!$K325, Rankings!$M325:$R325), "TBD")</f>
        <v>3.6</v>
      </c>
      <c r="I325" s="222" t="s">
        <v>993</v>
      </c>
      <c r="J325" s="222" t="s">
        <v>994</v>
      </c>
      <c r="K325" s="143">
        <v>3.0</v>
      </c>
      <c r="L325" s="144">
        <v>3.0</v>
      </c>
      <c r="M325" s="144">
        <v>3.0</v>
      </c>
      <c r="N325" s="144">
        <v>2.0</v>
      </c>
      <c r="O325" s="144">
        <v>5.0</v>
      </c>
      <c r="P325" s="144">
        <v>5.0</v>
      </c>
      <c r="Q325" s="394"/>
      <c r="R325" s="395"/>
      <c r="S325" s="147">
        <f>IF(SUM(Rankings!$K325:$R325)&gt;0, COUNTIFS(Rankings!$D$2:$D$987, Rankings!$D325, Rankings!$F$2:$F$987, "&lt;"&amp;Rankings!$F325) + COUNTIFS(Rankings!$D$2:$D$987, Rankings!$D325, Rankings!$F$2:$F$987, Rankings!$F325, Rankings!$G$2:$G$987, "&lt;"&amp;Rankings!$G325)+1, "TBD")</f>
        <v>3</v>
      </c>
      <c r="T325" s="225">
        <v>1.0</v>
      </c>
      <c r="U325" s="225" t="b">
        <f>Rankings!$S325=Rankings!$T325</f>
        <v>0</v>
      </c>
      <c r="V325" s="260"/>
      <c r="W325" s="153"/>
    </row>
    <row r="326" ht="15.0" customHeight="1">
      <c r="A326" s="134"/>
      <c r="B326" s="134"/>
      <c r="C326" s="134"/>
      <c r="D326" s="219">
        <f>D324</f>
        <v>46015</v>
      </c>
      <c r="E326" s="227" t="str">
        <f>$M$1</f>
        <v>Giacomo</v>
      </c>
      <c r="F326" s="220">
        <f>IFERROR(AVERAGE(Rankings!$K326:$R326), "TBD")</f>
        <v>3.666666667</v>
      </c>
      <c r="G326" s="220">
        <f>IFERROR(_xlfn.STDEV.P(Rankings!$K326:$R326), "TBD")</f>
        <v>0.9428090416</v>
      </c>
      <c r="H326" s="221">
        <f>IFERROR(AVERAGE(Rankings!$K326:$L326, Rankings!$N326:$R326), "TBD")</f>
        <v>3.6</v>
      </c>
      <c r="I326" s="222" t="s">
        <v>995</v>
      </c>
      <c r="J326" s="222" t="s">
        <v>996</v>
      </c>
      <c r="K326" s="143">
        <v>5.0</v>
      </c>
      <c r="L326" s="144">
        <v>2.0</v>
      </c>
      <c r="M326" s="144">
        <v>4.0</v>
      </c>
      <c r="N326" s="144">
        <v>3.0</v>
      </c>
      <c r="O326" s="144">
        <v>4.0</v>
      </c>
      <c r="P326" s="144">
        <v>4.0</v>
      </c>
      <c r="Q326" s="394"/>
      <c r="R326" s="395"/>
      <c r="S326" s="147">
        <f>IF(SUM(Rankings!$K326:$R326)&gt;0, COUNTIFS(Rankings!$D$2:$D$987, Rankings!$D326, Rankings!$F$2:$F$987, "&lt;"&amp;Rankings!$F326) + COUNTIFS(Rankings!$D$2:$D$987, Rankings!$D326, Rankings!$F$2:$F$987, Rankings!$F326, Rankings!$G$2:$G$987, "&lt;"&amp;Rankings!$G326)+1, "TBD")</f>
        <v>4</v>
      </c>
      <c r="T326" s="225">
        <v>1.0</v>
      </c>
      <c r="U326" s="225" t="b">
        <f>Rankings!$S326=Rankings!$T326</f>
        <v>0</v>
      </c>
      <c r="V326" s="260"/>
      <c r="W326" s="153"/>
    </row>
    <row r="327" ht="15.0" customHeight="1">
      <c r="A327" s="134"/>
      <c r="B327" s="134"/>
      <c r="C327" s="134"/>
      <c r="D327" s="219">
        <f>D324</f>
        <v>46015</v>
      </c>
      <c r="E327" s="227" t="str">
        <f>$N$1</f>
        <v>Rosey</v>
      </c>
      <c r="F327" s="220">
        <f>IFERROR(AVERAGE(Rankings!$K327:$R327), "TBD")</f>
        <v>1.333333333</v>
      </c>
      <c r="G327" s="220">
        <f>IFERROR(_xlfn.STDEV.P(Rankings!$K327:$R327), "TBD")</f>
        <v>0.4714045208</v>
      </c>
      <c r="H327" s="221">
        <f>IFERROR(AVERAGE(Rankings!$K327:$M327, Rankings!$O327:$R327), "TBD")</f>
        <v>1.4</v>
      </c>
      <c r="I327" s="222" t="s">
        <v>93</v>
      </c>
      <c r="J327" s="222" t="s">
        <v>997</v>
      </c>
      <c r="K327" s="143">
        <v>2.0</v>
      </c>
      <c r="L327" s="144">
        <v>1.0</v>
      </c>
      <c r="M327" s="144">
        <v>1.0</v>
      </c>
      <c r="N327" s="144">
        <v>1.0</v>
      </c>
      <c r="O327" s="144">
        <v>2.0</v>
      </c>
      <c r="P327" s="144">
        <v>1.0</v>
      </c>
      <c r="Q327" s="394"/>
      <c r="R327" s="395"/>
      <c r="S327" s="147">
        <f>IF(SUM(Rankings!$K327:$R327)&gt;0, COUNTIFS(Rankings!$D$2:$D$987, Rankings!$D327, Rankings!$F$2:$F$987, "&lt;"&amp;Rankings!$F327) + COUNTIFS(Rankings!$D$2:$D$987, Rankings!$D327, Rankings!$F$2:$F$987, Rankings!$F327, Rankings!$G$2:$G$987, "&lt;"&amp;Rankings!$G327)+1, "TBD")</f>
        <v>1</v>
      </c>
      <c r="T327" s="225">
        <v>1.0</v>
      </c>
      <c r="U327" s="225" t="b">
        <f>Rankings!$S327=Rankings!$T327</f>
        <v>1</v>
      </c>
      <c r="V327" s="260"/>
      <c r="W327" s="153"/>
    </row>
    <row r="328" ht="15.0" customHeight="1">
      <c r="A328" s="134"/>
      <c r="B328" s="134"/>
      <c r="C328" s="134"/>
      <c r="D328" s="219">
        <f t="shared" ref="D328:D330" si="47">D324</f>
        <v>46015</v>
      </c>
      <c r="E328" s="227" t="str">
        <f>$O$1</f>
        <v>TTAC</v>
      </c>
      <c r="F328" s="220">
        <f>IFERROR(AVERAGE(Rankings!$K328:$R328), "TBD")</f>
        <v>4.666666667</v>
      </c>
      <c r="G328" s="220">
        <f>IFERROR(_xlfn.STDEV.P(Rankings!$K328:$R328), "TBD")</f>
        <v>1.247219129</v>
      </c>
      <c r="H328" s="221">
        <f>IFERROR(AVERAGE(Rankings!$K328:$N328, Rankings!$P328:$R328), "TBD")</f>
        <v>5</v>
      </c>
      <c r="I328" s="222" t="s">
        <v>998</v>
      </c>
      <c r="J328" s="222" t="s">
        <v>999</v>
      </c>
      <c r="K328" s="143">
        <v>6.0</v>
      </c>
      <c r="L328" s="144">
        <v>5.0</v>
      </c>
      <c r="M328" s="144">
        <v>5.0</v>
      </c>
      <c r="N328" s="144">
        <v>6.0</v>
      </c>
      <c r="O328" s="144">
        <v>3.0</v>
      </c>
      <c r="P328" s="144">
        <v>3.0</v>
      </c>
      <c r="Q328" s="394"/>
      <c r="R328" s="395"/>
      <c r="S328" s="147">
        <f>IF(SUM(Rankings!$K328:$R328)&gt;0, COUNTIFS(Rankings!$D$2:$D$987, Rankings!$D328, Rankings!$F$2:$F$987, "&lt;"&amp;Rankings!$F328) + COUNTIFS(Rankings!$D$2:$D$987, Rankings!$D328, Rankings!$F$2:$F$987, Rankings!$F328, Rankings!$G$2:$G$987, "&lt;"&amp;Rankings!$G328)+1, "TBD")</f>
        <v>6</v>
      </c>
      <c r="T328" s="225">
        <v>1.0</v>
      </c>
      <c r="U328" s="225" t="b">
        <f>Rankings!$S328=Rankings!$T328</f>
        <v>0</v>
      </c>
      <c r="V328" s="260"/>
      <c r="W328" s="153"/>
    </row>
    <row r="329" ht="15.0" customHeight="1">
      <c r="A329" s="134"/>
      <c r="B329" s="134"/>
      <c r="C329" s="134"/>
      <c r="D329" s="219">
        <f t="shared" si="47"/>
        <v>46015</v>
      </c>
      <c r="E329" s="227" t="str">
        <f>$P$1</f>
        <v>Weston</v>
      </c>
      <c r="F329" s="220">
        <f>IFERROR(AVERAGE(Rankings!$K329:$R329), "TBD")</f>
        <v>7</v>
      </c>
      <c r="G329" s="220">
        <f>IFERROR(_xlfn.STDEV.P(Rankings!$K329:$R329), "TBD")</f>
        <v>0</v>
      </c>
      <c r="H329" s="221">
        <f>IFERROR(AVERAGE(Rankings!$K329:$O329, Rankings!$R329), "TBD")</f>
        <v>7</v>
      </c>
      <c r="I329" s="222" t="s">
        <v>1000</v>
      </c>
      <c r="J329" s="222" t="s">
        <v>1001</v>
      </c>
      <c r="K329" s="143">
        <v>7.0</v>
      </c>
      <c r="L329" s="144">
        <v>7.0</v>
      </c>
      <c r="M329" s="144">
        <v>7.0</v>
      </c>
      <c r="N329" s="144">
        <v>7.0</v>
      </c>
      <c r="O329" s="144">
        <v>7.0</v>
      </c>
      <c r="P329" s="144">
        <v>7.0</v>
      </c>
      <c r="Q329" s="394"/>
      <c r="R329" s="395"/>
      <c r="S329" s="147">
        <f>IF(SUM(Rankings!$K329:$R329)&gt;0, COUNTIFS(Rankings!$D$2:$D$987, Rankings!$D329, Rankings!$F$2:$F$987, "&lt;"&amp;Rankings!$F329) + COUNTIFS(Rankings!$D$2:$D$987, Rankings!$D329, Rankings!$F$2:$F$987, Rankings!$F329, Rankings!$G$2:$G$987, "&lt;"&amp;Rankings!$G329)+1, "TBD")</f>
        <v>7</v>
      </c>
      <c r="T329" s="225">
        <v>1.0</v>
      </c>
      <c r="U329" s="225" t="b">
        <f>Rankings!$S329=Rankings!$T329</f>
        <v>0</v>
      </c>
      <c r="V329" s="260"/>
      <c r="W329" s="153"/>
    </row>
    <row r="330" ht="15.0" customHeight="1">
      <c r="A330" s="189"/>
      <c r="B330" s="189"/>
      <c r="C330" s="189"/>
      <c r="D330" s="235">
        <f t="shared" si="47"/>
        <v>46015</v>
      </c>
      <c r="E330" s="237" t="str">
        <f>$R$1</f>
        <v>Jake</v>
      </c>
      <c r="F330" s="240">
        <f>IFERROR(AVERAGE(Rankings!$K330:$R330), "TBD")</f>
        <v>3.333333333</v>
      </c>
      <c r="G330" s="240">
        <f>IFERROR(_xlfn.STDEV.P(Rankings!$K330:$R330), "TBD")</f>
        <v>1.795054936</v>
      </c>
      <c r="H330" s="242">
        <f>IFERROR(AVERAGE(Rankings!$K330:$P330), "TBD")</f>
        <v>3.333333333</v>
      </c>
      <c r="I330" s="243" t="s">
        <v>1002</v>
      </c>
      <c r="J330" s="243" t="s">
        <v>1003</v>
      </c>
      <c r="K330" s="199">
        <v>4.0</v>
      </c>
      <c r="L330" s="201">
        <v>6.0</v>
      </c>
      <c r="M330" s="201">
        <v>2.0</v>
      </c>
      <c r="N330" s="201">
        <v>5.0</v>
      </c>
      <c r="O330" s="201">
        <v>1.0</v>
      </c>
      <c r="P330" s="201">
        <v>2.0</v>
      </c>
      <c r="Q330" s="396"/>
      <c r="R330" s="397"/>
      <c r="S330" s="203">
        <f>IF(SUM(Rankings!$K330:$R330)&gt;0, COUNTIFS(Rankings!$D$2:$D$987, Rankings!$D330, Rankings!$F$2:$F$987, "&lt;"&amp;Rankings!$F330) + COUNTIFS(Rankings!$D$2:$D$987, Rankings!$D330, Rankings!$F$2:$F$987, Rankings!$F330, Rankings!$G$2:$G$987, "&lt;"&amp;Rankings!$G330)+1, "TBD")</f>
        <v>2</v>
      </c>
      <c r="T330" s="247">
        <v>1.0</v>
      </c>
      <c r="U330" s="247" t="b">
        <f>Rankings!$S330=Rankings!$T330</f>
        <v>0</v>
      </c>
      <c r="V330" s="261"/>
      <c r="W330" s="208"/>
    </row>
    <row r="331" ht="15.0" customHeight="1">
      <c r="A331" s="103">
        <v>46017.0</v>
      </c>
      <c r="B331" s="104"/>
      <c r="C331" s="104" t="str">
        <f t="array" ref="C331">INDEX(Rankings!$E331:$E337, MATCH(1, (Rankings!$D331:$D337=$A331)*(Rankings!$U331:$U337=TRUE()), 0))</f>
        <v>Parker</v>
      </c>
      <c r="D331" s="111">
        <f>A331</f>
        <v>46017</v>
      </c>
      <c r="E331" s="113" t="str">
        <f>$K$1</f>
        <v>Logan</v>
      </c>
      <c r="F331" s="115">
        <f>IFERROR(AVERAGE(Rankings!$K331:$R331), "TBD")</f>
        <v>3.666666667</v>
      </c>
      <c r="G331" s="115">
        <f>IFERROR(_xlfn.STDEV.P(Rankings!$K331:$R331), "TBD")</f>
        <v>1.795054936</v>
      </c>
      <c r="H331" s="117">
        <f>IFERROR(AVERAGE(Rankings!$L331:$R331), "TBD")</f>
        <v>4</v>
      </c>
      <c r="I331" s="119" t="s">
        <v>1004</v>
      </c>
      <c r="J331" s="119" t="s">
        <v>1005</v>
      </c>
      <c r="K331" s="120">
        <v>2.0</v>
      </c>
      <c r="L331" s="121">
        <v>5.0</v>
      </c>
      <c r="M331" s="121">
        <v>5.0</v>
      </c>
      <c r="N331" s="121">
        <v>1.0</v>
      </c>
      <c r="O331" s="121">
        <v>6.0</v>
      </c>
      <c r="P331" s="121">
        <v>3.0</v>
      </c>
      <c r="Q331" s="122"/>
      <c r="R331" s="393"/>
      <c r="S331" s="126">
        <f>IF(SUM(Rankings!$K331:$R331)&gt;0, COUNTIFS(Rankings!$D$2:$D$987, Rankings!$D331, Rankings!$F$2:$F$987, "&lt;"&amp;Rankings!$F331) + COUNTIFS(Rankings!$D$2:$D$987, Rankings!$D331, Rankings!$F$2:$F$987, Rankings!$F331, Rankings!$G$2:$G$987, "&lt;"&amp;Rankings!$G331)+1, "TBD")</f>
        <v>4</v>
      </c>
      <c r="T331" s="217">
        <v>1.0</v>
      </c>
      <c r="U331" s="217" t="b">
        <f>Rankings!$S331=Rankings!$T331</f>
        <v>0</v>
      </c>
      <c r="V331" s="133"/>
      <c r="W331" s="133"/>
    </row>
    <row r="332" ht="15.0" customHeight="1">
      <c r="A332" s="134"/>
      <c r="B332" s="134"/>
      <c r="C332" s="134"/>
      <c r="D332" s="219">
        <f>D331</f>
        <v>46017</v>
      </c>
      <c r="E332" s="138" t="str">
        <f>$L$1</f>
        <v>Parker</v>
      </c>
      <c r="F332" s="220">
        <f>IFERROR(AVERAGE(Rankings!$K332:$R332), "TBD")</f>
        <v>2.166666667</v>
      </c>
      <c r="G332" s="220">
        <f>IFERROR(_xlfn.STDEV.P(Rankings!$K332:$R332), "TBD")</f>
        <v>1.067187373</v>
      </c>
      <c r="H332" s="221">
        <f>IFERROR(AVERAGE(Rankings!$K332, Rankings!$M332:$R332), "TBD")</f>
        <v>2.2</v>
      </c>
      <c r="I332" s="222" t="s">
        <v>524</v>
      </c>
      <c r="J332" s="222" t="s">
        <v>1006</v>
      </c>
      <c r="K332" s="143">
        <v>4.0</v>
      </c>
      <c r="L332" s="144">
        <v>2.0</v>
      </c>
      <c r="M332" s="144">
        <v>2.0</v>
      </c>
      <c r="N332" s="144">
        <v>3.0</v>
      </c>
      <c r="O332" s="144">
        <v>1.0</v>
      </c>
      <c r="P332" s="144">
        <v>1.0</v>
      </c>
      <c r="Q332" s="394"/>
      <c r="R332" s="395"/>
      <c r="S332" s="147">
        <f>IF(SUM(Rankings!$K332:$R332)&gt;0, COUNTIFS(Rankings!$D$2:$D$987, Rankings!$D332, Rankings!$F$2:$F$987, "&lt;"&amp;Rankings!$F332) + COUNTIFS(Rankings!$D$2:$D$987, Rankings!$D332, Rankings!$F$2:$F$987, Rankings!$F332, Rankings!$G$2:$G$987, "&lt;"&amp;Rankings!$G332)+1, "TBD")</f>
        <v>1</v>
      </c>
      <c r="T332" s="225">
        <v>1.0</v>
      </c>
      <c r="U332" s="225" t="b">
        <f>Rankings!$S332=Rankings!$T332</f>
        <v>1</v>
      </c>
      <c r="V332" s="226"/>
      <c r="W332" s="153"/>
    </row>
    <row r="333" ht="15.0" customHeight="1">
      <c r="A333" s="134"/>
      <c r="B333" s="134"/>
      <c r="C333" s="134"/>
      <c r="D333" s="219">
        <f>D331</f>
        <v>46017</v>
      </c>
      <c r="E333" s="227" t="str">
        <f>$M$1</f>
        <v>Giacomo</v>
      </c>
      <c r="F333" s="220">
        <f>IFERROR(AVERAGE(Rankings!$K333:$R333), "TBD")</f>
        <v>4.5</v>
      </c>
      <c r="G333" s="220">
        <f>IFERROR(_xlfn.STDEV.P(Rankings!$K333:$R333), "TBD")</f>
        <v>1.38443731</v>
      </c>
      <c r="H333" s="221">
        <f>IFERROR(AVERAGE(Rankings!$K333:$L333, Rankings!$N333:$R333), "TBD")</f>
        <v>4.8</v>
      </c>
      <c r="I333" s="222" t="s">
        <v>1007</v>
      </c>
      <c r="J333" s="222" t="s">
        <v>1008</v>
      </c>
      <c r="K333" s="143">
        <v>5.0</v>
      </c>
      <c r="L333" s="144">
        <v>3.0</v>
      </c>
      <c r="M333" s="144">
        <v>3.0</v>
      </c>
      <c r="N333" s="144">
        <v>5.0</v>
      </c>
      <c r="O333" s="144">
        <v>7.0</v>
      </c>
      <c r="P333" s="144">
        <v>4.0</v>
      </c>
      <c r="Q333" s="394"/>
      <c r="R333" s="395"/>
      <c r="S333" s="147">
        <f>IF(SUM(Rankings!$K333:$R333)&gt;0, COUNTIFS(Rankings!$D$2:$D$987, Rankings!$D333, Rankings!$F$2:$F$987, "&lt;"&amp;Rankings!$F333) + COUNTIFS(Rankings!$D$2:$D$987, Rankings!$D333, Rankings!$F$2:$F$987, Rankings!$F333, Rankings!$G$2:$G$987, "&lt;"&amp;Rankings!$G333)+1, "TBD")</f>
        <v>5</v>
      </c>
      <c r="T333" s="225">
        <v>1.0</v>
      </c>
      <c r="U333" s="225" t="b">
        <f>Rankings!$S333=Rankings!$T333</f>
        <v>0</v>
      </c>
      <c r="V333" s="226"/>
      <c r="W333" s="153"/>
    </row>
    <row r="334" ht="15.0" customHeight="1">
      <c r="A334" s="134"/>
      <c r="B334" s="134"/>
      <c r="C334" s="134"/>
      <c r="D334" s="219">
        <f>D331</f>
        <v>46017</v>
      </c>
      <c r="E334" s="227" t="str">
        <f>$N$1</f>
        <v>Rosey</v>
      </c>
      <c r="F334" s="220">
        <f>IFERROR(AVERAGE(Rankings!$K334:$R334), "TBD")</f>
        <v>2.666666667</v>
      </c>
      <c r="G334" s="220">
        <f>IFERROR(_xlfn.STDEV.P(Rankings!$K334:$R334), "TBD")</f>
        <v>1.490711985</v>
      </c>
      <c r="H334" s="221">
        <f>IFERROR(AVERAGE(Rankings!$K334:$M334, Rankings!$O334:$R334), "TBD")</f>
        <v>2.8</v>
      </c>
      <c r="I334" s="222" t="s">
        <v>1009</v>
      </c>
      <c r="J334" s="222" t="s">
        <v>1010</v>
      </c>
      <c r="K334" s="143">
        <v>1.0</v>
      </c>
      <c r="L334" s="144">
        <v>4.0</v>
      </c>
      <c r="M334" s="144">
        <v>1.0</v>
      </c>
      <c r="N334" s="144">
        <v>2.0</v>
      </c>
      <c r="O334" s="144">
        <v>3.0</v>
      </c>
      <c r="P334" s="144">
        <v>5.0</v>
      </c>
      <c r="Q334" s="394"/>
      <c r="R334" s="395"/>
      <c r="S334" s="147">
        <f>IF(SUM(Rankings!$K334:$R334)&gt;0, COUNTIFS(Rankings!$D$2:$D$987, Rankings!$D334, Rankings!$F$2:$F$987, "&lt;"&amp;Rankings!$F334) + COUNTIFS(Rankings!$D$2:$D$987, Rankings!$D334, Rankings!$F$2:$F$987, Rankings!$F334, Rankings!$G$2:$G$987, "&lt;"&amp;Rankings!$G334)+1, "TBD")</f>
        <v>3</v>
      </c>
      <c r="T334" s="225">
        <v>1.0</v>
      </c>
      <c r="U334" s="225" t="b">
        <f>Rankings!$S334=Rankings!$T334</f>
        <v>0</v>
      </c>
      <c r="V334" s="226"/>
      <c r="W334" s="153"/>
    </row>
    <row r="335" ht="15.0" customHeight="1">
      <c r="A335" s="134"/>
      <c r="B335" s="134"/>
      <c r="C335" s="134"/>
      <c r="D335" s="219">
        <f t="shared" ref="D335:D337" si="48">D331</f>
        <v>46017</v>
      </c>
      <c r="E335" s="227" t="str">
        <f>$O$1</f>
        <v>TTAC</v>
      </c>
      <c r="F335" s="220">
        <f>IFERROR(AVERAGE(Rankings!$K335:$R335), "TBD")</f>
        <v>5.833333333</v>
      </c>
      <c r="G335" s="220">
        <f>IFERROR(_xlfn.STDEV.P(Rankings!$K335:$R335), "TBD")</f>
        <v>0.3726779962</v>
      </c>
      <c r="H335" s="221">
        <f>IFERROR(AVERAGE(Rankings!$K335:$N335, Rankings!$P335:$R335), "TBD")</f>
        <v>6</v>
      </c>
      <c r="I335" s="222" t="s">
        <v>1011</v>
      </c>
      <c r="J335" s="222" t="s">
        <v>1012</v>
      </c>
      <c r="K335" s="143">
        <v>6.0</v>
      </c>
      <c r="L335" s="144">
        <v>6.0</v>
      </c>
      <c r="M335" s="144">
        <v>6.0</v>
      </c>
      <c r="N335" s="144">
        <v>6.0</v>
      </c>
      <c r="O335" s="144">
        <v>5.0</v>
      </c>
      <c r="P335" s="144">
        <v>6.0</v>
      </c>
      <c r="Q335" s="394"/>
      <c r="R335" s="395"/>
      <c r="S335" s="147">
        <f>IF(SUM(Rankings!$K335:$R335)&gt;0, COUNTIFS(Rankings!$D$2:$D$987, Rankings!$D335, Rankings!$F$2:$F$987, "&lt;"&amp;Rankings!$F335) + COUNTIFS(Rankings!$D$2:$D$987, Rankings!$D335, Rankings!$F$2:$F$987, Rankings!$F335, Rankings!$G$2:$G$987, "&lt;"&amp;Rankings!$G335)+1, "TBD")</f>
        <v>6</v>
      </c>
      <c r="T335" s="225">
        <v>1.0</v>
      </c>
      <c r="U335" s="225" t="b">
        <f>Rankings!$S335=Rankings!$T335</f>
        <v>0</v>
      </c>
      <c r="V335" s="226"/>
      <c r="W335" s="153"/>
    </row>
    <row r="336" ht="15.0" customHeight="1">
      <c r="A336" s="134"/>
      <c r="B336" s="134"/>
      <c r="C336" s="134"/>
      <c r="D336" s="219">
        <f t="shared" si="48"/>
        <v>46017</v>
      </c>
      <c r="E336" s="227" t="str">
        <f>$P$1</f>
        <v>Weston</v>
      </c>
      <c r="F336" s="220">
        <f>IFERROR(AVERAGE(Rankings!$K336:$R336), "TBD")</f>
        <v>2.666666667</v>
      </c>
      <c r="G336" s="220">
        <f>IFERROR(_xlfn.STDEV.P(Rankings!$K336:$R336), "TBD")</f>
        <v>1.105541597</v>
      </c>
      <c r="H336" s="221">
        <f>IFERROR(AVERAGE(Rankings!$K336:$O336, Rankings!$R336), "TBD")</f>
        <v>2.8</v>
      </c>
      <c r="I336" s="222" t="s">
        <v>1013</v>
      </c>
      <c r="J336" s="222" t="s">
        <v>1014</v>
      </c>
      <c r="K336" s="143">
        <v>3.0</v>
      </c>
      <c r="L336" s="144">
        <v>1.0</v>
      </c>
      <c r="M336" s="144">
        <v>4.0</v>
      </c>
      <c r="N336" s="144">
        <v>4.0</v>
      </c>
      <c r="O336" s="144">
        <v>2.0</v>
      </c>
      <c r="P336" s="144">
        <v>2.0</v>
      </c>
      <c r="Q336" s="394"/>
      <c r="R336" s="395"/>
      <c r="S336" s="147">
        <f>IF(SUM(Rankings!$K336:$R336)&gt;0, COUNTIFS(Rankings!$D$2:$D$987, Rankings!$D336, Rankings!$F$2:$F$987, "&lt;"&amp;Rankings!$F336) + COUNTIFS(Rankings!$D$2:$D$987, Rankings!$D336, Rankings!$F$2:$F$987, Rankings!$F336, Rankings!$G$2:$G$987, "&lt;"&amp;Rankings!$G336)+1, "TBD")</f>
        <v>2</v>
      </c>
      <c r="T336" s="225">
        <v>1.0</v>
      </c>
      <c r="U336" s="225" t="b">
        <f>Rankings!$S336=Rankings!$T336</f>
        <v>0</v>
      </c>
      <c r="V336" s="226"/>
      <c r="W336" s="153"/>
    </row>
    <row r="337" ht="15.0" customHeight="1">
      <c r="A337" s="189"/>
      <c r="B337" s="189"/>
      <c r="C337" s="189"/>
      <c r="D337" s="235">
        <f t="shared" si="48"/>
        <v>46017</v>
      </c>
      <c r="E337" s="237" t="str">
        <f>$R$1</f>
        <v>Jake</v>
      </c>
      <c r="F337" s="240">
        <f>IFERROR(AVERAGE(Rankings!$K337:$R337), "TBD")</f>
        <v>6.5</v>
      </c>
      <c r="G337" s="240">
        <f>IFERROR(_xlfn.STDEV.P(Rankings!$K337:$R337), "TBD")</f>
        <v>1.118033989</v>
      </c>
      <c r="H337" s="242">
        <f>IFERROR(AVERAGE(Rankings!$K337:$P337), "TBD")</f>
        <v>6.5</v>
      </c>
      <c r="I337" s="243" t="s">
        <v>1015</v>
      </c>
      <c r="J337" s="243" t="s">
        <v>1016</v>
      </c>
      <c r="K337" s="199">
        <v>7.0</v>
      </c>
      <c r="L337" s="201">
        <v>7.0</v>
      </c>
      <c r="M337" s="201">
        <v>7.0</v>
      </c>
      <c r="N337" s="201">
        <v>7.0</v>
      </c>
      <c r="O337" s="201">
        <v>4.0</v>
      </c>
      <c r="P337" s="201">
        <v>7.0</v>
      </c>
      <c r="Q337" s="396"/>
      <c r="R337" s="397"/>
      <c r="S337" s="203">
        <f>IF(SUM(Rankings!$K337:$R337)&gt;0, COUNTIFS(Rankings!$D$2:$D$987, Rankings!$D337, Rankings!$F$2:$F$987, "&lt;"&amp;Rankings!$F337) + COUNTIFS(Rankings!$D$2:$D$987, Rankings!$D337, Rankings!$F$2:$F$987, Rankings!$F337, Rankings!$G$2:$G$987, "&lt;"&amp;Rankings!$G337)+1, "TBD")</f>
        <v>7</v>
      </c>
      <c r="T337" s="247">
        <v>1.0</v>
      </c>
      <c r="U337" s="247" t="b">
        <f>Rankings!$S337=Rankings!$T337</f>
        <v>0</v>
      </c>
      <c r="V337" s="248"/>
      <c r="W337" s="208"/>
    </row>
    <row r="338" ht="15.0" customHeight="1">
      <c r="A338" s="103">
        <v>46020.0</v>
      </c>
      <c r="B338" s="104"/>
      <c r="C338" s="104" t="str">
        <f t="array" ref="C338">INDEX(Rankings!$E338:$E344, MATCH(1, (Rankings!$D338:$D344=$A338)*(Rankings!$U338:$U344=TRUE()), 0))</f>
        <v>Weston</v>
      </c>
      <c r="D338" s="111">
        <f>A338</f>
        <v>46020</v>
      </c>
      <c r="E338" s="113" t="str">
        <f>$K$1</f>
        <v>Logan</v>
      </c>
      <c r="F338" s="115">
        <f>IFERROR(AVERAGE(Rankings!$K338:$R338), "TBD")</f>
        <v>5.5</v>
      </c>
      <c r="G338" s="115">
        <f>IFERROR(_xlfn.STDEV.P(Rankings!$K338:$R338), "TBD")</f>
        <v>0.9574271078</v>
      </c>
      <c r="H338" s="117">
        <f>IFERROR(AVERAGE(Rankings!$L338:$R338), "TBD")</f>
        <v>5.8</v>
      </c>
      <c r="I338" s="119" t="s">
        <v>1017</v>
      </c>
      <c r="J338" s="119" t="s">
        <v>1018</v>
      </c>
      <c r="K338" s="120">
        <v>4.0</v>
      </c>
      <c r="L338" s="121">
        <v>7.0</v>
      </c>
      <c r="M338" s="121">
        <v>5.0</v>
      </c>
      <c r="N338" s="121">
        <v>6.0</v>
      </c>
      <c r="O338" s="121">
        <v>6.0</v>
      </c>
      <c r="P338" s="121">
        <v>5.0</v>
      </c>
      <c r="Q338" s="122"/>
      <c r="R338" s="393"/>
      <c r="S338" s="126">
        <f>IF(SUM(Rankings!$K338:$R338)&gt;0, COUNTIFS(Rankings!$D$2:$D$987, Rankings!$D338, Rankings!$F$2:$F$987, "&lt;"&amp;Rankings!$F338) + COUNTIFS(Rankings!$D$2:$D$987, Rankings!$D338, Rankings!$F$2:$F$987, Rankings!$F338, Rankings!$G$2:$G$987, "&lt;"&amp;Rankings!$G338)+1, "TBD")</f>
        <v>7</v>
      </c>
      <c r="T338" s="217">
        <v>1.0</v>
      </c>
      <c r="U338" s="217" t="b">
        <f>Rankings!$S338=Rankings!$T338</f>
        <v>0</v>
      </c>
      <c r="V338" s="259"/>
      <c r="W338" s="259" t="s">
        <v>1019</v>
      </c>
    </row>
    <row r="339" ht="15.0" customHeight="1">
      <c r="A339" s="134"/>
      <c r="B339" s="134"/>
      <c r="C339" s="134"/>
      <c r="D339" s="219">
        <f>D338</f>
        <v>46020</v>
      </c>
      <c r="E339" s="138" t="str">
        <f>$L$1</f>
        <v>Parker</v>
      </c>
      <c r="F339" s="220">
        <f>IFERROR(AVERAGE(Rankings!$K339:$R339), "TBD")</f>
        <v>3</v>
      </c>
      <c r="G339" s="220">
        <f>IFERROR(_xlfn.STDEV.P(Rankings!$K339:$R339), "TBD")</f>
        <v>1.527525232</v>
      </c>
      <c r="H339" s="221">
        <f>IFERROR(AVERAGE(Rankings!$K339, Rankings!$M339:$R339), "TBD")</f>
        <v>3.4</v>
      </c>
      <c r="I339" s="222" t="s">
        <v>1020</v>
      </c>
      <c r="J339" s="222" t="s">
        <v>1021</v>
      </c>
      <c r="K339" s="143">
        <v>5.0</v>
      </c>
      <c r="L339" s="144">
        <v>1.0</v>
      </c>
      <c r="M339" s="144">
        <v>3.0</v>
      </c>
      <c r="N339" s="144">
        <v>2.0</v>
      </c>
      <c r="O339" s="144">
        <v>5.0</v>
      </c>
      <c r="P339" s="144">
        <v>2.0</v>
      </c>
      <c r="Q339" s="394"/>
      <c r="R339" s="395"/>
      <c r="S339" s="147">
        <f>IF(SUM(Rankings!$K339:$R339)&gt;0, COUNTIFS(Rankings!$D$2:$D$987, Rankings!$D339, Rankings!$F$2:$F$987, "&lt;"&amp;Rankings!$F339) + COUNTIFS(Rankings!$D$2:$D$987, Rankings!$D339, Rankings!$F$2:$F$987, Rankings!$F339, Rankings!$G$2:$G$987, "&lt;"&amp;Rankings!$G339)+1, "TBD")</f>
        <v>2</v>
      </c>
      <c r="T339" s="225">
        <v>1.0</v>
      </c>
      <c r="U339" s="225" t="b">
        <f>Rankings!$S339=Rankings!$T339</f>
        <v>0</v>
      </c>
      <c r="V339" s="260"/>
      <c r="W339" s="153"/>
    </row>
    <row r="340" ht="15.0" customHeight="1">
      <c r="A340" s="134"/>
      <c r="B340" s="134"/>
      <c r="C340" s="134"/>
      <c r="D340" s="219">
        <f>D338</f>
        <v>46020</v>
      </c>
      <c r="E340" s="227" t="str">
        <f>$M$1</f>
        <v>Giacomo</v>
      </c>
      <c r="F340" s="220">
        <f>IFERROR(AVERAGE(Rankings!$K340:$R340), "TBD")</f>
        <v>3.333333333</v>
      </c>
      <c r="G340" s="220">
        <f>IFERROR(_xlfn.STDEV.P(Rankings!$K340:$R340), "TBD")</f>
        <v>1.795054936</v>
      </c>
      <c r="H340" s="221">
        <f>IFERROR(AVERAGE(Rankings!$K340:$L340, Rankings!$N340:$R340), "TBD")</f>
        <v>3.8</v>
      </c>
      <c r="I340" s="222" t="s">
        <v>1022</v>
      </c>
      <c r="J340" s="222" t="s">
        <v>1023</v>
      </c>
      <c r="K340" s="143">
        <v>6.0</v>
      </c>
      <c r="L340" s="144">
        <v>2.0</v>
      </c>
      <c r="M340" s="144">
        <v>1.0</v>
      </c>
      <c r="N340" s="144">
        <v>5.0</v>
      </c>
      <c r="O340" s="144">
        <v>2.0</v>
      </c>
      <c r="P340" s="144">
        <v>4.0</v>
      </c>
      <c r="Q340" s="394"/>
      <c r="R340" s="395"/>
      <c r="S340" s="147">
        <f>IF(SUM(Rankings!$K340:$R340)&gt;0, COUNTIFS(Rankings!$D$2:$D$987, Rankings!$D340, Rankings!$F$2:$F$987, "&lt;"&amp;Rankings!$F340) + COUNTIFS(Rankings!$D$2:$D$987, Rankings!$D340, Rankings!$F$2:$F$987, Rankings!$F340, Rankings!$G$2:$G$987, "&lt;"&amp;Rankings!$G340)+1, "TBD")</f>
        <v>3</v>
      </c>
      <c r="T340" s="225">
        <v>1.0</v>
      </c>
      <c r="U340" s="225" t="b">
        <f>Rankings!$S340=Rankings!$T340</f>
        <v>0</v>
      </c>
      <c r="V340" s="260"/>
      <c r="W340" s="153"/>
    </row>
    <row r="341" ht="15.0" customHeight="1">
      <c r="A341" s="134"/>
      <c r="B341" s="134"/>
      <c r="C341" s="134"/>
      <c r="D341" s="219">
        <f>D338</f>
        <v>46020</v>
      </c>
      <c r="E341" s="227" t="str">
        <f>$N$1</f>
        <v>Rosey</v>
      </c>
      <c r="F341" s="220">
        <f>IFERROR(AVERAGE(Rankings!$K341:$R341), "TBD")</f>
        <v>4.666666667</v>
      </c>
      <c r="G341" s="220">
        <f>IFERROR(_xlfn.STDEV.P(Rankings!$K341:$R341), "TBD")</f>
        <v>1.795054936</v>
      </c>
      <c r="H341" s="221">
        <f>IFERROR(AVERAGE(Rankings!$K341:$M341, Rankings!$O341:$R341), "TBD")</f>
        <v>5</v>
      </c>
      <c r="I341" s="222" t="s">
        <v>1024</v>
      </c>
      <c r="J341" s="222" t="s">
        <v>1025</v>
      </c>
      <c r="K341" s="143">
        <v>2.0</v>
      </c>
      <c r="L341" s="144">
        <v>4.0</v>
      </c>
      <c r="M341" s="144">
        <v>6.0</v>
      </c>
      <c r="N341" s="144">
        <v>3.0</v>
      </c>
      <c r="O341" s="144">
        <v>7.0</v>
      </c>
      <c r="P341" s="144">
        <v>6.0</v>
      </c>
      <c r="Q341" s="394"/>
      <c r="R341" s="395"/>
      <c r="S341" s="147">
        <f>IF(SUM(Rankings!$K341:$R341)&gt;0, COUNTIFS(Rankings!$D$2:$D$987, Rankings!$D341, Rankings!$F$2:$F$987, "&lt;"&amp;Rankings!$F341) + COUNTIFS(Rankings!$D$2:$D$987, Rankings!$D341, Rankings!$F$2:$F$987, Rankings!$F341, Rankings!$G$2:$G$987, "&lt;"&amp;Rankings!$G341)+1, "TBD")</f>
        <v>5</v>
      </c>
      <c r="T341" s="225">
        <v>1.0</v>
      </c>
      <c r="U341" s="225" t="b">
        <f>Rankings!$S341=Rankings!$T341</f>
        <v>0</v>
      </c>
      <c r="V341" s="260"/>
      <c r="W341" s="153"/>
    </row>
    <row r="342" ht="15.0" customHeight="1">
      <c r="A342" s="134"/>
      <c r="B342" s="134"/>
      <c r="C342" s="134"/>
      <c r="D342" s="219">
        <f t="shared" ref="D342:D344" si="49">D338</f>
        <v>46020</v>
      </c>
      <c r="E342" s="227" t="str">
        <f>$O$1</f>
        <v>TTAC</v>
      </c>
      <c r="F342" s="220">
        <f>IFERROR(AVERAGE(Rankings!$K342:$R342), "TBD")</f>
        <v>4.666666667</v>
      </c>
      <c r="G342" s="220">
        <f>IFERROR(_xlfn.STDEV.P(Rankings!$K342:$R342), "TBD")</f>
        <v>2.211083194</v>
      </c>
      <c r="H342" s="221">
        <f>IFERROR(AVERAGE(Rankings!$K342:$N342, Rankings!$P342:$R342), "TBD")</f>
        <v>5.4</v>
      </c>
      <c r="I342" s="222" t="s">
        <v>1026</v>
      </c>
      <c r="J342" s="222" t="s">
        <v>1027</v>
      </c>
      <c r="K342" s="143">
        <v>3.0</v>
      </c>
      <c r="L342" s="144">
        <v>6.0</v>
      </c>
      <c r="M342" s="144">
        <v>7.0</v>
      </c>
      <c r="N342" s="144">
        <v>4.0</v>
      </c>
      <c r="O342" s="144">
        <v>1.0</v>
      </c>
      <c r="P342" s="144">
        <v>7.0</v>
      </c>
      <c r="Q342" s="394"/>
      <c r="R342" s="395"/>
      <c r="S342" s="147">
        <f>IF(SUM(Rankings!$K342:$R342)&gt;0, COUNTIFS(Rankings!$D$2:$D$987, Rankings!$D342, Rankings!$F$2:$F$987, "&lt;"&amp;Rankings!$F342) + COUNTIFS(Rankings!$D$2:$D$987, Rankings!$D342, Rankings!$F$2:$F$987, Rankings!$F342, Rankings!$G$2:$G$987, "&lt;"&amp;Rankings!$G342)+1, "TBD")</f>
        <v>6</v>
      </c>
      <c r="T342" s="225">
        <v>1.0</v>
      </c>
      <c r="U342" s="225" t="b">
        <f>Rankings!$S342=Rankings!$T342</f>
        <v>0</v>
      </c>
      <c r="V342" s="260"/>
      <c r="W342" s="153"/>
    </row>
    <row r="343" ht="15.0" customHeight="1">
      <c r="A343" s="134"/>
      <c r="B343" s="134"/>
      <c r="C343" s="134"/>
      <c r="D343" s="219">
        <f t="shared" si="49"/>
        <v>46020</v>
      </c>
      <c r="E343" s="227" t="str">
        <f>$P$1</f>
        <v>Weston</v>
      </c>
      <c r="F343" s="220">
        <f>IFERROR(AVERAGE(Rankings!$K343:$R343), "TBD")</f>
        <v>2.5</v>
      </c>
      <c r="G343" s="220">
        <f>IFERROR(_xlfn.STDEV.P(Rankings!$K343:$R343), "TBD")</f>
        <v>1.607275127</v>
      </c>
      <c r="H343" s="221">
        <f>IFERROR(AVERAGE(Rankings!$K343:$O343, Rankings!$R343), "TBD")</f>
        <v>2.8</v>
      </c>
      <c r="I343" s="222" t="s">
        <v>531</v>
      </c>
      <c r="J343" s="222" t="s">
        <v>1028</v>
      </c>
      <c r="K343" s="143">
        <v>1.0</v>
      </c>
      <c r="L343" s="144">
        <v>5.0</v>
      </c>
      <c r="M343" s="144">
        <v>4.0</v>
      </c>
      <c r="N343" s="144">
        <v>1.0</v>
      </c>
      <c r="O343" s="144">
        <v>3.0</v>
      </c>
      <c r="P343" s="144">
        <v>1.0</v>
      </c>
      <c r="Q343" s="394"/>
      <c r="R343" s="395"/>
      <c r="S343" s="147">
        <f>IF(SUM(Rankings!$K343:$R343)&gt;0, COUNTIFS(Rankings!$D$2:$D$987, Rankings!$D343, Rankings!$F$2:$F$987, "&lt;"&amp;Rankings!$F343) + COUNTIFS(Rankings!$D$2:$D$987, Rankings!$D343, Rankings!$F$2:$F$987, Rankings!$F343, Rankings!$G$2:$G$987, "&lt;"&amp;Rankings!$G343)+1, "TBD")</f>
        <v>1</v>
      </c>
      <c r="T343" s="225">
        <v>1.0</v>
      </c>
      <c r="U343" s="225" t="b">
        <f>Rankings!$S343=Rankings!$T343</f>
        <v>1</v>
      </c>
      <c r="V343" s="260"/>
      <c r="W343" s="153"/>
    </row>
    <row r="344" ht="15.0" customHeight="1">
      <c r="A344" s="189"/>
      <c r="B344" s="189"/>
      <c r="C344" s="189"/>
      <c r="D344" s="235">
        <f t="shared" si="49"/>
        <v>46020</v>
      </c>
      <c r="E344" s="237" t="str">
        <f>$R$1</f>
        <v>Jake</v>
      </c>
      <c r="F344" s="240">
        <f>IFERROR(AVERAGE(Rankings!$K344:$R344), "TBD")</f>
        <v>4.333333333</v>
      </c>
      <c r="G344" s="240">
        <f>IFERROR(_xlfn.STDEV.P(Rankings!$K344:$R344), "TBD")</f>
        <v>1.972026594</v>
      </c>
      <c r="H344" s="242">
        <f>IFERROR(AVERAGE(Rankings!$K344:$P344), "TBD")</f>
        <v>4.333333333</v>
      </c>
      <c r="I344" s="243" t="s">
        <v>1029</v>
      </c>
      <c r="J344" s="243" t="s">
        <v>1030</v>
      </c>
      <c r="K344" s="199">
        <v>7.0</v>
      </c>
      <c r="L344" s="201">
        <v>3.0</v>
      </c>
      <c r="M344" s="201">
        <v>2.0</v>
      </c>
      <c r="N344" s="201">
        <v>7.0</v>
      </c>
      <c r="O344" s="201">
        <v>4.0</v>
      </c>
      <c r="P344" s="201">
        <v>3.0</v>
      </c>
      <c r="Q344" s="396"/>
      <c r="R344" s="397"/>
      <c r="S344" s="203">
        <f>IF(SUM(Rankings!$K344:$R344)&gt;0, COUNTIFS(Rankings!$D$2:$D$987, Rankings!$D344, Rankings!$F$2:$F$987, "&lt;"&amp;Rankings!$F344) + COUNTIFS(Rankings!$D$2:$D$987, Rankings!$D344, Rankings!$F$2:$F$987, Rankings!$F344, Rankings!$G$2:$G$987, "&lt;"&amp;Rankings!$G344)+1, "TBD")</f>
        <v>4</v>
      </c>
      <c r="T344" s="247">
        <v>1.0</v>
      </c>
      <c r="U344" s="247" t="b">
        <f>Rankings!$S344=Rankings!$T344</f>
        <v>0</v>
      </c>
      <c r="V344" s="261"/>
      <c r="W344" s="208"/>
    </row>
    <row r="345" ht="15.0" customHeight="1">
      <c r="A345" s="103">
        <v>46022.0</v>
      </c>
      <c r="B345" s="104"/>
      <c r="C345" s="104" t="str">
        <f t="array" ref="C345">INDEX(Rankings!$E345:$E350, MATCH(1, (Rankings!$D345:$D350=$A345)*(Rankings!$U345:$U350=TRUE()), 0))</f>
        <v>Giacomo</v>
      </c>
      <c r="D345" s="398">
        <f>A345</f>
        <v>46022</v>
      </c>
      <c r="E345" s="399" t="str">
        <f>$K$1</f>
        <v>Logan</v>
      </c>
      <c r="F345" s="400">
        <f>IFERROR(AVERAGE(Rankings!$K345:$P345), "TBD")</f>
        <v>4.333333333</v>
      </c>
      <c r="G345" s="400">
        <f>IFERROR(_xlfn.STDEV.P(Rankings!$K345:$P345), "TBD")</f>
        <v>1.247219129</v>
      </c>
      <c r="H345" s="400">
        <f>IFERROR(AVERAGE(Rankings!$L345:$P345), "TBD")</f>
        <v>4.8</v>
      </c>
      <c r="I345" s="119" t="s">
        <v>1031</v>
      </c>
      <c r="J345" s="119" t="s">
        <v>1032</v>
      </c>
      <c r="K345" s="120">
        <v>2.0</v>
      </c>
      <c r="L345" s="121">
        <v>6.0</v>
      </c>
      <c r="M345" s="121">
        <v>5.0</v>
      </c>
      <c r="N345" s="121">
        <v>4.0</v>
      </c>
      <c r="O345" s="121">
        <v>5.0</v>
      </c>
      <c r="P345" s="121">
        <v>4.0</v>
      </c>
      <c r="Q345" s="122"/>
      <c r="R345" s="393"/>
      <c r="S345" s="401">
        <f>IF(SUM(Rankings!$K345:$P345)&gt;0, COUNTIFS(Rankings!$D$2:$D$987, Rankings!$D345, Rankings!$F$2:$F$987, "&lt;"&amp;Rankings!$F345) + COUNTIFS(Rankings!$D$2:$D$987, Rankings!$D345, Rankings!$F$2:$F$987, Rankings!$F345, Rankings!$G$2:$G$987, "&lt;"&amp;Rankings!$G345)+1, "TBD")</f>
        <v>5</v>
      </c>
      <c r="T345" s="217">
        <v>1.0</v>
      </c>
      <c r="U345" s="217" t="b">
        <f>Rankings!$S345=Rankings!$T345</f>
        <v>0</v>
      </c>
      <c r="V345" s="133"/>
      <c r="W345" s="133"/>
    </row>
    <row r="346" ht="15.0" customHeight="1">
      <c r="A346" s="134"/>
      <c r="B346" s="134"/>
      <c r="C346" s="134"/>
      <c r="D346" s="402">
        <f>D345</f>
        <v>46022</v>
      </c>
      <c r="E346" s="403" t="str">
        <f>$L$1</f>
        <v>Parker</v>
      </c>
      <c r="F346" s="404">
        <f>IFERROR(AVERAGE(Rankings!$K346:$P346), "TBD")</f>
        <v>2.5</v>
      </c>
      <c r="G346" s="404">
        <f>IFERROR(_xlfn.STDEV.P(Rankings!$K346:$P346), "TBD")</f>
        <v>1.5</v>
      </c>
      <c r="H346" s="404">
        <f>IFERROR(AVERAGE(Rankings!$K346, Rankings!$M346:$P346), "TBD")</f>
        <v>2.8</v>
      </c>
      <c r="I346" s="222" t="s">
        <v>1033</v>
      </c>
      <c r="J346" s="222" t="s">
        <v>1034</v>
      </c>
      <c r="K346" s="143">
        <v>4.0</v>
      </c>
      <c r="L346" s="144">
        <v>1.0</v>
      </c>
      <c r="M346" s="144">
        <v>2.0</v>
      </c>
      <c r="N346" s="144">
        <v>5.0</v>
      </c>
      <c r="O346" s="144">
        <v>1.0</v>
      </c>
      <c r="P346" s="144">
        <v>2.0</v>
      </c>
      <c r="Q346" s="394"/>
      <c r="R346" s="395"/>
      <c r="S346" s="405">
        <f>IF(SUM(Rankings!$K346:$P346)&gt;0, COUNTIFS(Rankings!$D$2:$D$987, Rankings!$D346, Rankings!$F$2:$F$987, "&lt;"&amp;Rankings!$F346) + COUNTIFS(Rankings!$D$2:$D$987, Rankings!$D346, Rankings!$F$2:$F$987, Rankings!$F346, Rankings!$G$2:$G$987, "&lt;"&amp;Rankings!$G346)+1, "TBD")</f>
        <v>2</v>
      </c>
      <c r="T346" s="225">
        <v>1.0</v>
      </c>
      <c r="U346" s="225" t="b">
        <f>Rankings!$S346=Rankings!$T346</f>
        <v>0</v>
      </c>
      <c r="V346" s="226"/>
      <c r="W346" s="153"/>
    </row>
    <row r="347" ht="15.0" customHeight="1">
      <c r="A347" s="134"/>
      <c r="B347" s="134"/>
      <c r="C347" s="134"/>
      <c r="D347" s="406">
        <f>D345</f>
        <v>46022</v>
      </c>
      <c r="E347" s="407" t="str">
        <f>$M$1</f>
        <v>Giacomo</v>
      </c>
      <c r="F347" s="408">
        <f>IFERROR(AVERAGE(Rankings!$K347:$P347), "TBD")</f>
        <v>2.166666667</v>
      </c>
      <c r="G347" s="408">
        <f>IFERROR(_xlfn.STDEV.P(Rankings!$K347:$P347), "TBD")</f>
        <v>1.343709625</v>
      </c>
      <c r="H347" s="408">
        <f>IFERROR(AVERAGE(Rankings!$K347:$L347, Rankings!$N347:$P347), "TBD")</f>
        <v>2.4</v>
      </c>
      <c r="I347" s="222" t="s">
        <v>520</v>
      </c>
      <c r="J347" s="222" t="s">
        <v>1035</v>
      </c>
      <c r="K347" s="143">
        <v>5.0</v>
      </c>
      <c r="L347" s="144">
        <v>2.0</v>
      </c>
      <c r="M347" s="144">
        <v>1.0</v>
      </c>
      <c r="N347" s="144">
        <v>2.0</v>
      </c>
      <c r="O347" s="144">
        <v>2.0</v>
      </c>
      <c r="P347" s="144">
        <v>1.0</v>
      </c>
      <c r="Q347" s="394"/>
      <c r="R347" s="395"/>
      <c r="S347" s="405">
        <f>IF(SUM(Rankings!$K347:$P347)&gt;0, COUNTIFS(Rankings!$D$2:$D$987, Rankings!$D347, Rankings!$F$2:$F$987, "&lt;"&amp;Rankings!$F347) + COUNTIFS(Rankings!$D$2:$D$987, Rankings!$D347, Rankings!$F$2:$F$987, Rankings!$F347, Rankings!$G$2:$G$987, "&lt;"&amp;Rankings!$G347)+1, "TBD")</f>
        <v>1</v>
      </c>
      <c r="T347" s="225">
        <v>1.0</v>
      </c>
      <c r="U347" s="225" t="b">
        <f>Rankings!$S347=Rankings!$T347</f>
        <v>1</v>
      </c>
      <c r="V347" s="226"/>
      <c r="W347" s="153"/>
    </row>
    <row r="348" ht="15.0" customHeight="1">
      <c r="A348" s="134"/>
      <c r="B348" s="134"/>
      <c r="C348" s="134"/>
      <c r="D348" s="409">
        <f>D345</f>
        <v>46022</v>
      </c>
      <c r="E348" s="410" t="str">
        <f>$N$1</f>
        <v>Rosey</v>
      </c>
      <c r="F348" s="411">
        <f>IFERROR(AVERAGE(Rankings!$K348:$P348), "TBD")</f>
        <v>3.833333333</v>
      </c>
      <c r="G348" s="411">
        <f>IFERROR(_xlfn.STDEV.P(Rankings!$K348:$P348), "TBD")</f>
        <v>1.213351648</v>
      </c>
      <c r="H348" s="411">
        <f>IFERROR(AVERAGE(Rankings!$K348:$M348, Rankings!$O348:$P348), "TBD")</f>
        <v>4</v>
      </c>
      <c r="I348" s="222" t="s">
        <v>1036</v>
      </c>
      <c r="J348" s="222" t="s">
        <v>1037</v>
      </c>
      <c r="K348" s="143">
        <v>3.0</v>
      </c>
      <c r="L348" s="144">
        <v>3.0</v>
      </c>
      <c r="M348" s="144">
        <v>3.0</v>
      </c>
      <c r="N348" s="144">
        <v>3.0</v>
      </c>
      <c r="O348" s="144">
        <v>5.0</v>
      </c>
      <c r="P348" s="144">
        <v>6.0</v>
      </c>
      <c r="Q348" s="394"/>
      <c r="R348" s="395"/>
      <c r="S348" s="405">
        <f>IF(SUM(Rankings!$K348:$P348)&gt;0, COUNTIFS(Rankings!$D$2:$D$987, Rankings!$D348, Rankings!$F$2:$F$987, "&lt;"&amp;Rankings!$F348) + COUNTIFS(Rankings!$D$2:$D$987, Rankings!$D348, Rankings!$F$2:$F$987, Rankings!$F348, Rankings!$G$2:$G$987, "&lt;"&amp;Rankings!$G348)+1, "TBD")</f>
        <v>4</v>
      </c>
      <c r="T348" s="225">
        <v>1.0</v>
      </c>
      <c r="U348" s="225" t="b">
        <f>Rankings!$S348=Rankings!$T348</f>
        <v>0</v>
      </c>
      <c r="V348" s="226"/>
      <c r="W348" s="153"/>
    </row>
    <row r="349" ht="15.0" customHeight="1">
      <c r="A349" s="134"/>
      <c r="B349" s="134"/>
      <c r="C349" s="134"/>
      <c r="D349" s="412">
        <f t="shared" ref="D349:D350" si="50">D345</f>
        <v>46022</v>
      </c>
      <c r="E349" s="413" t="str">
        <f>$O$1</f>
        <v>TTAC</v>
      </c>
      <c r="F349" s="414">
        <f>IFERROR(AVERAGE(Rankings!$K349:$P349), "TBD")</f>
        <v>4.833333333</v>
      </c>
      <c r="G349" s="414">
        <f>IFERROR(_xlfn.STDEV.P(Rankings!$K349:$P349), "TBD")</f>
        <v>0.8975274679</v>
      </c>
      <c r="H349" s="414">
        <f>IFERROR(AVERAGE(Rankings!$K349:$N349, Rankings!$P349), "TBD")</f>
        <v>5</v>
      </c>
      <c r="I349" s="222" t="s">
        <v>1038</v>
      </c>
      <c r="J349" s="222" t="s">
        <v>1039</v>
      </c>
      <c r="K349" s="143">
        <v>6.0</v>
      </c>
      <c r="L349" s="144">
        <v>4.0</v>
      </c>
      <c r="M349" s="144">
        <v>4.0</v>
      </c>
      <c r="N349" s="144">
        <v>6.0</v>
      </c>
      <c r="O349" s="144">
        <v>4.0</v>
      </c>
      <c r="P349" s="144">
        <v>5.0</v>
      </c>
      <c r="Q349" s="394"/>
      <c r="R349" s="395"/>
      <c r="S349" s="405">
        <f>IF(SUM(Rankings!$K349:$P349)&gt;0, COUNTIFS(Rankings!$D$2:$D$987, Rankings!$D349, Rankings!$F$2:$F$987, "&lt;"&amp;Rankings!$F349) + COUNTIFS(Rankings!$D$2:$D$987, Rankings!$D349, Rankings!$F$2:$F$987, Rankings!$F349, Rankings!$G$2:$G$987, "&lt;"&amp;Rankings!$G349)+1, "TBD")</f>
        <v>6</v>
      </c>
      <c r="T349" s="225">
        <v>1.0</v>
      </c>
      <c r="U349" s="225" t="b">
        <f>Rankings!$S349=Rankings!$T349</f>
        <v>0</v>
      </c>
      <c r="V349" s="226"/>
      <c r="W349" s="153"/>
    </row>
    <row r="350" ht="15.0" customHeight="1">
      <c r="A350" s="189"/>
      <c r="B350" s="189"/>
      <c r="C350" s="189"/>
      <c r="D350" s="415">
        <f t="shared" si="50"/>
        <v>46022</v>
      </c>
      <c r="E350" s="416" t="str">
        <f>$P$1</f>
        <v>Weston</v>
      </c>
      <c r="F350" s="417">
        <f>IFERROR(AVERAGE(Rankings!$K350:$P350), "TBD")</f>
        <v>3.666666667</v>
      </c>
      <c r="G350" s="418">
        <f>IFERROR(_xlfn.STDEV.P(Rankings!$K350:$P350), "TBD")</f>
        <v>2.134374746</v>
      </c>
      <c r="H350" s="418">
        <f>IFERROR(AVERAGE(Rankings!$K350:$O350), "TBD")</f>
        <v>3.8</v>
      </c>
      <c r="I350" s="222" t="s">
        <v>1040</v>
      </c>
      <c r="J350" s="222" t="s">
        <v>1041</v>
      </c>
      <c r="K350" s="143">
        <v>1.0</v>
      </c>
      <c r="L350" s="144">
        <v>5.0</v>
      </c>
      <c r="M350" s="144">
        <v>6.0</v>
      </c>
      <c r="N350" s="144">
        <v>1.0</v>
      </c>
      <c r="O350" s="144">
        <v>6.0</v>
      </c>
      <c r="P350" s="144">
        <v>3.0</v>
      </c>
      <c r="Q350" s="394"/>
      <c r="R350" s="395"/>
      <c r="S350" s="405">
        <f>IF(SUM(Rankings!$K350:$P350)&gt;0, COUNTIFS(Rankings!$D$2:$D$987, Rankings!$D350, Rankings!$F$2:$F$987, "&lt;"&amp;Rankings!$F350) + COUNTIFS(Rankings!$D$2:$D$987, Rankings!$D350, Rankings!$F$2:$F$987, Rankings!$F350, Rankings!$G$2:$G$987, "&lt;"&amp;Rankings!$G350)+1, "TBD")</f>
        <v>3</v>
      </c>
      <c r="T350" s="225">
        <v>1.0</v>
      </c>
      <c r="U350" s="225" t="b">
        <f>Rankings!$S350=Rankings!$T350</f>
        <v>0</v>
      </c>
      <c r="V350" s="226"/>
      <c r="W350" s="208"/>
    </row>
    <row r="351" ht="15.0" customHeight="1">
      <c r="A351" s="103">
        <v>46024.0</v>
      </c>
      <c r="B351" s="419" t="s">
        <v>141</v>
      </c>
      <c r="C351" s="104" t="str">
        <f t="array" ref="C351">INDEX(Rankings!$E351:$E356, MATCH(1, (Rankings!$D351:$D356=$A351)*(Rankings!$U351:$U356=TRUE()), 0))</f>
        <v>TTAC</v>
      </c>
      <c r="D351" s="398">
        <f>A351</f>
        <v>46024</v>
      </c>
      <c r="E351" s="399" t="str">
        <f>$K$1</f>
        <v>Logan</v>
      </c>
      <c r="F351" s="400">
        <f>IFERROR(AVERAGE(Rankings!$K351:$P351), "TBD")</f>
        <v>4.333333333</v>
      </c>
      <c r="G351" s="400">
        <f>IFERROR(_xlfn.STDEV.P(Rankings!$K351:$P351), "TBD")</f>
        <v>1.374368542</v>
      </c>
      <c r="H351" s="400">
        <f>IFERROR(AVERAGE(Rankings!$L351:$P351), "TBD")</f>
        <v>4.8</v>
      </c>
      <c r="I351" s="119" t="s">
        <v>1042</v>
      </c>
      <c r="J351" s="119" t="s">
        <v>1043</v>
      </c>
      <c r="K351" s="120">
        <v>2.0</v>
      </c>
      <c r="L351" s="121">
        <v>5.0</v>
      </c>
      <c r="M351" s="121">
        <v>6.0</v>
      </c>
      <c r="N351" s="121">
        <v>5.0</v>
      </c>
      <c r="O351" s="121">
        <v>5.0</v>
      </c>
      <c r="P351" s="121">
        <v>3.0</v>
      </c>
      <c r="Q351" s="122"/>
      <c r="R351" s="393"/>
      <c r="S351" s="401">
        <f>IF(SUM(Rankings!$K351:$P351)&gt;0, COUNTIFS(Rankings!$D$2:$D$987, Rankings!$D351, Rankings!$F$2:$F$987, "&lt;"&amp;Rankings!$F351) + COUNTIFS(Rankings!$D$2:$D$987, Rankings!$D351, Rankings!$F$2:$F$987, Rankings!$F351, Rankings!$G$2:$G$987, "&lt;"&amp;Rankings!$G351)+1, "TBD")</f>
        <v>5</v>
      </c>
      <c r="T351" s="217">
        <v>1.0</v>
      </c>
      <c r="U351" s="217" t="b">
        <f>Rankings!$S351=Rankings!$T351</f>
        <v>0</v>
      </c>
      <c r="V351" s="133"/>
      <c r="W351" s="133"/>
    </row>
    <row r="352" ht="15.0" customHeight="1">
      <c r="A352" s="134"/>
      <c r="B352" s="134"/>
      <c r="C352" s="134"/>
      <c r="D352" s="402">
        <f>D351</f>
        <v>46024</v>
      </c>
      <c r="E352" s="403" t="str">
        <f>$L$1</f>
        <v>Parker</v>
      </c>
      <c r="F352" s="404">
        <f>IFERROR(AVERAGE(Rankings!$K352:$P352), "TBD")</f>
        <v>4.833333333</v>
      </c>
      <c r="G352" s="404">
        <f>IFERROR(_xlfn.STDEV.P(Rankings!$K352:$P352), "TBD")</f>
        <v>1.462494065</v>
      </c>
      <c r="H352" s="404">
        <f>IFERROR(AVERAGE(Rankings!$K352, Rankings!$M352:$P352), "TBD")</f>
        <v>5.4</v>
      </c>
      <c r="I352" s="222" t="s">
        <v>1044</v>
      </c>
      <c r="J352" s="222" t="s">
        <v>1045</v>
      </c>
      <c r="K352" s="143">
        <v>6.0</v>
      </c>
      <c r="L352" s="144">
        <v>2.0</v>
      </c>
      <c r="M352" s="144">
        <v>5.0</v>
      </c>
      <c r="N352" s="144">
        <v>4.0</v>
      </c>
      <c r="O352" s="144">
        <v>6.0</v>
      </c>
      <c r="P352" s="144">
        <v>6.0</v>
      </c>
      <c r="Q352" s="394"/>
      <c r="R352" s="395"/>
      <c r="S352" s="405">
        <f>IF(SUM(Rankings!$K352:$P352)&gt;0, COUNTIFS(Rankings!$D$2:$D$987, Rankings!$D352, Rankings!$F$2:$F$987, "&lt;"&amp;Rankings!$F352) + COUNTIFS(Rankings!$D$2:$D$987, Rankings!$D352, Rankings!$F$2:$F$987, Rankings!$F352, Rankings!$G$2:$G$987, "&lt;"&amp;Rankings!$G352)+1, "TBD")</f>
        <v>6</v>
      </c>
      <c r="T352" s="225">
        <v>1.0</v>
      </c>
      <c r="U352" s="225" t="b">
        <f>Rankings!$S352=Rankings!$T352</f>
        <v>0</v>
      </c>
      <c r="V352" s="226"/>
      <c r="W352" s="153"/>
    </row>
    <row r="353" ht="15.0" customHeight="1">
      <c r="A353" s="134"/>
      <c r="B353" s="134"/>
      <c r="C353" s="134"/>
      <c r="D353" s="406">
        <f>D351</f>
        <v>46024</v>
      </c>
      <c r="E353" s="407" t="str">
        <f>$M$1</f>
        <v>Giacomo</v>
      </c>
      <c r="F353" s="408">
        <f>IFERROR(AVERAGE(Rankings!$K353:$P353), "TBD")</f>
        <v>2.833333333</v>
      </c>
      <c r="G353" s="408">
        <f>IFERROR(_xlfn.STDEV.P(Rankings!$K353:$P353), "TBD")</f>
        <v>1.950783318</v>
      </c>
      <c r="H353" s="408">
        <f>IFERROR(AVERAGE(Rankings!$K353:$L353, Rankings!$N353:$P353), "TBD")</f>
        <v>3.2</v>
      </c>
      <c r="I353" s="222" t="s">
        <v>1046</v>
      </c>
      <c r="J353" s="222" t="s">
        <v>1047</v>
      </c>
      <c r="K353" s="143">
        <v>5.0</v>
      </c>
      <c r="L353" s="144">
        <v>1.0</v>
      </c>
      <c r="M353" s="144">
        <v>1.0</v>
      </c>
      <c r="N353" s="144">
        <v>6.0</v>
      </c>
      <c r="O353" s="144">
        <v>2.0</v>
      </c>
      <c r="P353" s="144">
        <v>2.0</v>
      </c>
      <c r="Q353" s="394"/>
      <c r="R353" s="395"/>
      <c r="S353" s="405">
        <f>IF(SUM(Rankings!$K353:$P353)&gt;0, COUNTIFS(Rankings!$D$2:$D$987, Rankings!$D353, Rankings!$F$2:$F$987, "&lt;"&amp;Rankings!$F353) + COUNTIFS(Rankings!$D$2:$D$987, Rankings!$D353, Rankings!$F$2:$F$987, Rankings!$F353, Rankings!$G$2:$G$987, "&lt;"&amp;Rankings!$G353)+1, "TBD")</f>
        <v>2</v>
      </c>
      <c r="T353" s="225">
        <v>1.0</v>
      </c>
      <c r="U353" s="225" t="b">
        <f>Rankings!$S353=Rankings!$T353</f>
        <v>0</v>
      </c>
      <c r="V353" s="226"/>
      <c r="W353" s="153"/>
    </row>
    <row r="354" ht="15.0" customHeight="1">
      <c r="A354" s="134"/>
      <c r="B354" s="134"/>
      <c r="C354" s="134"/>
      <c r="D354" s="409">
        <f>D351</f>
        <v>46024</v>
      </c>
      <c r="E354" s="410" t="str">
        <f>$N$1</f>
        <v>Rosey</v>
      </c>
      <c r="F354" s="411">
        <f>IFERROR(AVERAGE(Rankings!$K354:$P354), "TBD")</f>
        <v>3.166666667</v>
      </c>
      <c r="G354" s="411">
        <f>IFERROR(_xlfn.STDEV.P(Rankings!$K354:$P354), "TBD")</f>
        <v>1.213351648</v>
      </c>
      <c r="H354" s="411">
        <f>IFERROR(AVERAGE(Rankings!$K354:$M354, Rankings!$O354:$P354), "TBD")</f>
        <v>3.6</v>
      </c>
      <c r="I354" s="222" t="s">
        <v>1048</v>
      </c>
      <c r="J354" s="222" t="s">
        <v>1049</v>
      </c>
      <c r="K354" s="143">
        <v>3.0</v>
      </c>
      <c r="L354" s="144">
        <v>4.0</v>
      </c>
      <c r="M354" s="144">
        <v>3.0</v>
      </c>
      <c r="N354" s="144">
        <v>1.0</v>
      </c>
      <c r="O354" s="144">
        <v>3.0</v>
      </c>
      <c r="P354" s="144">
        <v>5.0</v>
      </c>
      <c r="Q354" s="394"/>
      <c r="R354" s="395"/>
      <c r="S354" s="405">
        <f>IF(SUM(Rankings!$K354:$P354)&gt;0, COUNTIFS(Rankings!$D$2:$D$987, Rankings!$D354, Rankings!$F$2:$F$987, "&lt;"&amp;Rankings!$F354) + COUNTIFS(Rankings!$D$2:$D$987, Rankings!$D354, Rankings!$F$2:$F$987, Rankings!$F354, Rankings!$G$2:$G$987, "&lt;"&amp;Rankings!$G354)+1, "TBD")</f>
        <v>3</v>
      </c>
      <c r="T354" s="225">
        <v>1.0</v>
      </c>
      <c r="U354" s="225" t="b">
        <f>Rankings!$S354=Rankings!$T354</f>
        <v>0</v>
      </c>
      <c r="V354" s="226"/>
      <c r="W354" s="153"/>
    </row>
    <row r="355" ht="15.0" customHeight="1">
      <c r="A355" s="134"/>
      <c r="B355" s="134"/>
      <c r="C355" s="134"/>
      <c r="D355" s="412">
        <f t="shared" ref="D355:D356" si="51">D351</f>
        <v>46024</v>
      </c>
      <c r="E355" s="413" t="str">
        <f>$O$1</f>
        <v>TTAC</v>
      </c>
      <c r="F355" s="414">
        <f>IFERROR(AVERAGE(Rankings!$K355:$P355), "TBD")</f>
        <v>2.666666667</v>
      </c>
      <c r="G355" s="414">
        <f>IFERROR(_xlfn.STDEV.P(Rankings!$K355:$P355), "TBD")</f>
        <v>1.247219129</v>
      </c>
      <c r="H355" s="414">
        <f>IFERROR(AVERAGE(Rankings!$K355:$N355, Rankings!$P355), "TBD")</f>
        <v>3</v>
      </c>
      <c r="I355" s="222" t="s">
        <v>401</v>
      </c>
      <c r="J355" s="222" t="s">
        <v>1050</v>
      </c>
      <c r="K355" s="143">
        <v>1.0</v>
      </c>
      <c r="L355" s="144">
        <v>3.0</v>
      </c>
      <c r="M355" s="144">
        <v>4.0</v>
      </c>
      <c r="N355" s="144">
        <v>3.0</v>
      </c>
      <c r="O355" s="144">
        <v>1.0</v>
      </c>
      <c r="P355" s="144">
        <v>4.0</v>
      </c>
      <c r="Q355" s="394"/>
      <c r="R355" s="395"/>
      <c r="S355" s="405">
        <f>IF(SUM(Rankings!$K355:$P355)&gt;0, COUNTIFS(Rankings!$D$2:$D$987, Rankings!$D355, Rankings!$F$2:$F$987, "&lt;"&amp;Rankings!$F355) + COUNTIFS(Rankings!$D$2:$D$987, Rankings!$D355, Rankings!$F$2:$F$987, Rankings!$F355, Rankings!$G$2:$G$987, "&lt;"&amp;Rankings!$G355)+1, "TBD")</f>
        <v>1</v>
      </c>
      <c r="T355" s="225">
        <v>1.0</v>
      </c>
      <c r="U355" s="225" t="b">
        <f>Rankings!$S355=Rankings!$T355</f>
        <v>1</v>
      </c>
      <c r="V355" s="226"/>
      <c r="W355" s="153"/>
    </row>
    <row r="356" ht="15.0" customHeight="1">
      <c r="A356" s="189"/>
      <c r="B356" s="189"/>
      <c r="C356" s="189"/>
      <c r="D356" s="415">
        <f t="shared" si="51"/>
        <v>46024</v>
      </c>
      <c r="E356" s="416" t="str">
        <f>$P$1</f>
        <v>Weston</v>
      </c>
      <c r="F356" s="417">
        <f>IFERROR(AVERAGE(Rankings!$K356:$P356), "TBD")</f>
        <v>3.166666667</v>
      </c>
      <c r="G356" s="418">
        <f>IFERROR(_xlfn.STDEV.P(Rankings!$K356:$P356), "TBD")</f>
        <v>1.67497927</v>
      </c>
      <c r="H356" s="418">
        <f>IFERROR(AVERAGE(Rankings!$K356:$O356), "TBD")</f>
        <v>3.6</v>
      </c>
      <c r="I356" s="222" t="s">
        <v>1051</v>
      </c>
      <c r="J356" s="222" t="s">
        <v>1052</v>
      </c>
      <c r="K356" s="143">
        <v>4.0</v>
      </c>
      <c r="L356" s="144">
        <v>6.0</v>
      </c>
      <c r="M356" s="144">
        <v>2.0</v>
      </c>
      <c r="N356" s="144">
        <v>2.0</v>
      </c>
      <c r="O356" s="144">
        <v>4.0</v>
      </c>
      <c r="P356" s="144">
        <v>1.0</v>
      </c>
      <c r="Q356" s="394"/>
      <c r="R356" s="395"/>
      <c r="S356" s="405">
        <f>IF(SUM(Rankings!$K356:$P356)&gt;0, COUNTIFS(Rankings!$D$2:$D$987, Rankings!$D356, Rankings!$F$2:$F$987, "&lt;"&amp;Rankings!$F356) + COUNTIFS(Rankings!$D$2:$D$987, Rankings!$D356, Rankings!$F$2:$F$987, Rankings!$F356, Rankings!$G$2:$G$987, "&lt;"&amp;Rankings!$G356)+1, "TBD")</f>
        <v>4</v>
      </c>
      <c r="T356" s="225">
        <v>1.0</v>
      </c>
      <c r="U356" s="225" t="b">
        <f>Rankings!$S356=Rankings!$T356</f>
        <v>0</v>
      </c>
      <c r="V356" s="226"/>
      <c r="W356" s="208"/>
    </row>
    <row r="357" ht="15.0" customHeight="1">
      <c r="A357" s="103">
        <v>46027.0</v>
      </c>
      <c r="B357" s="420"/>
      <c r="C357" s="104" t="str">
        <f t="array" ref="C357">INDEX(Rankings!$E357:$E362, MATCH(1, (Rankings!$D357:$D362=$A357)*(Rankings!$U357:$U362=TRUE()), 0))</f>
        <v>TTAC</v>
      </c>
      <c r="D357" s="398">
        <f>A357</f>
        <v>46027</v>
      </c>
      <c r="E357" s="399" t="str">
        <f>$K$1</f>
        <v>Logan</v>
      </c>
      <c r="F357" s="400">
        <f>IFERROR(AVERAGE(Rankings!$K357:$P357), "TBD")</f>
        <v>2.5</v>
      </c>
      <c r="G357" s="400">
        <f>IFERROR(_xlfn.STDEV.P(Rankings!$K357:$P357), "TBD")</f>
        <v>0.5</v>
      </c>
      <c r="H357" s="400">
        <f>IFERROR(AVERAGE(Rankings!$L357:$P357), "TBD")</f>
        <v>2.4</v>
      </c>
      <c r="I357" s="421" t="s">
        <v>1053</v>
      </c>
      <c r="J357" s="421" t="s">
        <v>105</v>
      </c>
      <c r="K357" s="422">
        <v>3.0</v>
      </c>
      <c r="L357" s="423">
        <v>2.0</v>
      </c>
      <c r="M357" s="423">
        <v>2.0</v>
      </c>
      <c r="N357" s="423">
        <v>2.0</v>
      </c>
      <c r="O357" s="423">
        <v>3.0</v>
      </c>
      <c r="P357" s="423">
        <v>3.0</v>
      </c>
      <c r="Q357" s="424"/>
      <c r="R357" s="425"/>
      <c r="S357" s="401">
        <f>IF(SUM(Rankings!$K357:$P357)&gt;0, COUNTIFS(Rankings!$D$2:$D$987, Rankings!$D357, Rankings!$F$2:$F$987, "&lt;"&amp;Rankings!$F357) + COUNTIFS(Rankings!$D$2:$D$987, Rankings!$D357, Rankings!$F$2:$F$987, Rankings!$F357, Rankings!$G$2:$G$987, "&lt;"&amp;Rankings!$G357)+1, "TBD")</f>
        <v>3</v>
      </c>
      <c r="T357" s="426">
        <v>1.0</v>
      </c>
      <c r="U357" s="427" t="b">
        <f>Rankings!$S357=Rankings!$T357</f>
        <v>0</v>
      </c>
      <c r="V357" s="428"/>
      <c r="W357" s="428"/>
    </row>
    <row r="358" ht="15.0" customHeight="1">
      <c r="A358" s="134"/>
      <c r="B358" s="134"/>
      <c r="C358" s="134"/>
      <c r="D358" s="402">
        <f>D357</f>
        <v>46027</v>
      </c>
      <c r="E358" s="403" t="str">
        <f>$L$1</f>
        <v>Parker</v>
      </c>
      <c r="F358" s="404">
        <f>IFERROR(AVERAGE(Rankings!$K358:$P358), "TBD")</f>
        <v>4.833333333</v>
      </c>
      <c r="G358" s="404">
        <f>IFERROR(_xlfn.STDEV.P(Rankings!$K358:$P358), "TBD")</f>
        <v>0.8975274679</v>
      </c>
      <c r="H358" s="404">
        <f>IFERROR(AVERAGE(Rankings!$K358, Rankings!$M358:$P358), "TBD")</f>
        <v>5</v>
      </c>
      <c r="I358" s="429" t="s">
        <v>1054</v>
      </c>
      <c r="J358" s="429" t="s">
        <v>1055</v>
      </c>
      <c r="K358" s="430">
        <v>4.0</v>
      </c>
      <c r="L358" s="431">
        <v>4.0</v>
      </c>
      <c r="M358" s="431">
        <v>6.0</v>
      </c>
      <c r="N358" s="431">
        <v>5.0</v>
      </c>
      <c r="O358" s="431">
        <v>4.0</v>
      </c>
      <c r="P358" s="431">
        <v>6.0</v>
      </c>
      <c r="Q358" s="432"/>
      <c r="R358" s="433"/>
      <c r="S358" s="405">
        <f>IF(SUM(Rankings!$K358:$P358)&gt;0, COUNTIFS(Rankings!$D$2:$D$987, Rankings!$D358, Rankings!$F$2:$F$987, "&lt;"&amp;Rankings!$F358) + COUNTIFS(Rankings!$D$2:$D$987, Rankings!$D358, Rankings!$F$2:$F$987, Rankings!$F358, Rankings!$G$2:$G$987, "&lt;"&amp;Rankings!$G358)+1, "TBD")</f>
        <v>5</v>
      </c>
      <c r="T358" s="434">
        <v>1.0</v>
      </c>
      <c r="U358" s="435" t="b">
        <f>Rankings!$S358=Rankings!$T358</f>
        <v>0</v>
      </c>
      <c r="V358" s="436"/>
      <c r="W358" s="153"/>
    </row>
    <row r="359" ht="15.0" customHeight="1">
      <c r="A359" s="134"/>
      <c r="B359" s="134"/>
      <c r="C359" s="134"/>
      <c r="D359" s="406">
        <f>D357</f>
        <v>46027</v>
      </c>
      <c r="E359" s="407" t="str">
        <f>$M$1</f>
        <v>Giacomo</v>
      </c>
      <c r="F359" s="408">
        <f>IFERROR(AVERAGE(Rankings!$K359:$P359), "TBD")</f>
        <v>2.333333333</v>
      </c>
      <c r="G359" s="408">
        <f>IFERROR(_xlfn.STDEV.P(Rankings!$K359:$P359), "TBD")</f>
        <v>1.972026594</v>
      </c>
      <c r="H359" s="408">
        <f>IFERROR(AVERAGE(Rankings!$K359:$L359, Rankings!$N359:$P359), "TBD")</f>
        <v>2.6</v>
      </c>
      <c r="I359" s="437" t="s">
        <v>1056</v>
      </c>
      <c r="J359" s="437" t="s">
        <v>1057</v>
      </c>
      <c r="K359" s="430">
        <v>1.0</v>
      </c>
      <c r="L359" s="431">
        <v>1.0</v>
      </c>
      <c r="M359" s="431">
        <v>1.0</v>
      </c>
      <c r="N359" s="431">
        <v>6.0</v>
      </c>
      <c r="O359" s="431">
        <v>1.0</v>
      </c>
      <c r="P359" s="431">
        <v>4.0</v>
      </c>
      <c r="Q359" s="432"/>
      <c r="R359" s="433"/>
      <c r="S359" s="405">
        <f>IF(SUM(Rankings!$K359:$P359)&gt;0, COUNTIFS(Rankings!$D$2:$D$987, Rankings!$D359, Rankings!$F$2:$F$987, "&lt;"&amp;Rankings!$F359) + COUNTIFS(Rankings!$D$2:$D$987, Rankings!$D359, Rankings!$F$2:$F$987, Rankings!$F359, Rankings!$G$2:$G$987, "&lt;"&amp;Rankings!$G359)+1, "TBD")</f>
        <v>2</v>
      </c>
      <c r="T359" s="434">
        <v>1.0</v>
      </c>
      <c r="U359" s="435" t="b">
        <f>Rankings!$S359=Rankings!$T359</f>
        <v>0</v>
      </c>
      <c r="V359" s="436"/>
      <c r="W359" s="153"/>
    </row>
    <row r="360" ht="15.0" customHeight="1">
      <c r="A360" s="134"/>
      <c r="B360" s="134"/>
      <c r="C360" s="134"/>
      <c r="D360" s="409">
        <f>D357</f>
        <v>46027</v>
      </c>
      <c r="E360" s="410" t="str">
        <f>$N$1</f>
        <v>Rosey</v>
      </c>
      <c r="F360" s="411">
        <f>IFERROR(AVERAGE(Rankings!$K360:$P360), "TBD")</f>
        <v>5.166666667</v>
      </c>
      <c r="G360" s="411">
        <f>IFERROR(_xlfn.STDEV.P(Rankings!$K360:$P360), "TBD")</f>
        <v>0.8975274679</v>
      </c>
      <c r="H360" s="411">
        <f>IFERROR(AVERAGE(Rankings!$K360:$M360, Rankings!$O360:$P360), "TBD")</f>
        <v>5.4</v>
      </c>
      <c r="I360" s="438" t="s">
        <v>1058</v>
      </c>
      <c r="J360" s="438" t="s">
        <v>1059</v>
      </c>
      <c r="K360" s="430">
        <v>6.0</v>
      </c>
      <c r="L360" s="431">
        <v>6.0</v>
      </c>
      <c r="M360" s="431">
        <v>4.0</v>
      </c>
      <c r="N360" s="431">
        <v>4.0</v>
      </c>
      <c r="O360" s="431">
        <v>6.0</v>
      </c>
      <c r="P360" s="431">
        <v>5.0</v>
      </c>
      <c r="Q360" s="432"/>
      <c r="R360" s="433"/>
      <c r="S360" s="405">
        <f>IF(SUM(Rankings!$K360:$P360)&gt;0, COUNTIFS(Rankings!$D$2:$D$987, Rankings!$D360, Rankings!$F$2:$F$987, "&lt;"&amp;Rankings!$F360) + COUNTIFS(Rankings!$D$2:$D$987, Rankings!$D360, Rankings!$F$2:$F$987, Rankings!$F360, Rankings!$G$2:$G$987, "&lt;"&amp;Rankings!$G360)+1, "TBD")</f>
        <v>6</v>
      </c>
      <c r="T360" s="434">
        <v>1.0</v>
      </c>
      <c r="U360" s="435" t="b">
        <f>Rankings!$S360=Rankings!$T360</f>
        <v>0</v>
      </c>
      <c r="V360" s="436"/>
      <c r="W360" s="153"/>
    </row>
    <row r="361" ht="15.0" customHeight="1">
      <c r="A361" s="134"/>
      <c r="B361" s="134"/>
      <c r="C361" s="134"/>
      <c r="D361" s="412">
        <f t="shared" ref="D361:D362" si="52">D357</f>
        <v>46027</v>
      </c>
      <c r="E361" s="413" t="str">
        <f>$O$1</f>
        <v>TTAC</v>
      </c>
      <c r="F361" s="414">
        <f>IFERROR(AVERAGE(Rankings!$K361:$P361), "TBD")</f>
        <v>2.333333333</v>
      </c>
      <c r="G361" s="414">
        <f>IFERROR(_xlfn.STDEV.P(Rankings!$K361:$P361), "TBD")</f>
        <v>1.374368542</v>
      </c>
      <c r="H361" s="414">
        <f>IFERROR(AVERAGE(Rankings!$K361:$N361, Rankings!$P361), "TBD")</f>
        <v>2.4</v>
      </c>
      <c r="I361" s="439" t="s">
        <v>414</v>
      </c>
      <c r="J361" s="439" t="s">
        <v>1060</v>
      </c>
      <c r="K361" s="430">
        <v>2.0</v>
      </c>
      <c r="L361" s="431">
        <v>3.0</v>
      </c>
      <c r="M361" s="431">
        <v>5.0</v>
      </c>
      <c r="N361" s="431">
        <v>1.0</v>
      </c>
      <c r="O361" s="431">
        <v>2.0</v>
      </c>
      <c r="P361" s="431">
        <v>1.0</v>
      </c>
      <c r="Q361" s="432"/>
      <c r="R361" s="433"/>
      <c r="S361" s="405">
        <f>IF(SUM(Rankings!$K361:$P361)&gt;0, COUNTIFS(Rankings!$D$2:$D$987, Rankings!$D361, Rankings!$F$2:$F$987, "&lt;"&amp;Rankings!$F361) + COUNTIFS(Rankings!$D$2:$D$987, Rankings!$D361, Rankings!$F$2:$F$987, Rankings!$F361, Rankings!$G$2:$G$987, "&lt;"&amp;Rankings!$G361)+1, "TBD")</f>
        <v>1</v>
      </c>
      <c r="T361" s="434">
        <v>1.0</v>
      </c>
      <c r="U361" s="435" t="b">
        <f>Rankings!$S361=Rankings!$T361</f>
        <v>1</v>
      </c>
      <c r="V361" s="436"/>
      <c r="W361" s="153"/>
    </row>
    <row r="362" ht="15.0" customHeight="1">
      <c r="A362" s="189"/>
      <c r="B362" s="189"/>
      <c r="C362" s="189"/>
      <c r="D362" s="415">
        <f t="shared" si="52"/>
        <v>46027</v>
      </c>
      <c r="E362" s="416" t="str">
        <f>$P$1</f>
        <v>Weston</v>
      </c>
      <c r="F362" s="417">
        <f>IFERROR(AVERAGE(Rankings!$K362:$P362), "TBD")</f>
        <v>3.833333333</v>
      </c>
      <c r="G362" s="418">
        <f>IFERROR(_xlfn.STDEV.P(Rankings!$K362:$P362), "TBD")</f>
        <v>1.213351648</v>
      </c>
      <c r="H362" s="418">
        <f>IFERROR(AVERAGE(Rankings!$K362:$O362), "TBD")</f>
        <v>4.2</v>
      </c>
      <c r="I362" s="440" t="s">
        <v>1061</v>
      </c>
      <c r="J362" s="440" t="s">
        <v>1062</v>
      </c>
      <c r="K362" s="430">
        <v>5.0</v>
      </c>
      <c r="L362" s="431">
        <v>5.0</v>
      </c>
      <c r="M362" s="431">
        <v>3.0</v>
      </c>
      <c r="N362" s="431">
        <v>3.0</v>
      </c>
      <c r="O362" s="431">
        <v>5.0</v>
      </c>
      <c r="P362" s="431">
        <v>2.0</v>
      </c>
      <c r="Q362" s="432"/>
      <c r="R362" s="433"/>
      <c r="S362" s="405">
        <f>IF(SUM(Rankings!$K362:$P362)&gt;0, COUNTIFS(Rankings!$D$2:$D$987, Rankings!$D362, Rankings!$F$2:$F$987, "&lt;"&amp;Rankings!$F362) + COUNTIFS(Rankings!$D$2:$D$987, Rankings!$D362, Rankings!$F$2:$F$987, Rankings!$F362, Rankings!$G$2:$G$987, "&lt;"&amp;Rankings!$G362)+1, "TBD")</f>
        <v>4</v>
      </c>
      <c r="T362" s="434">
        <v>1.0</v>
      </c>
      <c r="U362" s="435" t="b">
        <f>Rankings!$S362=Rankings!$T362</f>
        <v>0</v>
      </c>
      <c r="V362" s="436"/>
      <c r="W362" s="208"/>
    </row>
    <row r="363" ht="15.0" customHeight="1">
      <c r="A363" s="103">
        <v>46029.0</v>
      </c>
      <c r="B363" s="420"/>
      <c r="C363" s="104" t="str">
        <f t="array" ref="C363">INDEX(Rankings!$E363:$E368, MATCH(1, (Rankings!$D363:$D368=$A363)*(Rankings!$U363:$U368=TRUE()), 0))</f>
        <v>Logan</v>
      </c>
      <c r="D363" s="398">
        <f>A363</f>
        <v>46029</v>
      </c>
      <c r="E363" s="399" t="str">
        <f>$K$1</f>
        <v>Logan</v>
      </c>
      <c r="F363" s="400">
        <f>IFERROR(AVERAGE(Rankings!$K363:$P363), "TBD")</f>
        <v>1.666666667</v>
      </c>
      <c r="G363" s="400">
        <f>IFERROR(_xlfn.STDEV.P(Rankings!$K363:$P363), "TBD")</f>
        <v>0.7453559925</v>
      </c>
      <c r="H363" s="400">
        <f>IFERROR(AVERAGE(Rankings!$L363:$P363), "TBD")</f>
        <v>1.8</v>
      </c>
      <c r="I363" s="421" t="s">
        <v>1063</v>
      </c>
      <c r="J363" s="421" t="s">
        <v>1064</v>
      </c>
      <c r="K363" s="422">
        <v>1.0</v>
      </c>
      <c r="L363" s="423">
        <v>2.0</v>
      </c>
      <c r="M363" s="423">
        <v>3.0</v>
      </c>
      <c r="N363" s="423">
        <v>1.0</v>
      </c>
      <c r="O363" s="423">
        <v>2.0</v>
      </c>
      <c r="P363" s="423">
        <v>1.0</v>
      </c>
      <c r="Q363" s="424"/>
      <c r="R363" s="425"/>
      <c r="S363" s="401">
        <f>IF(SUM(Rankings!$K363:$P363)&gt;0, COUNTIFS(Rankings!$D$2:$D$987, Rankings!$D363, Rankings!$F$2:$F$987, "&lt;"&amp;Rankings!$F363) + COUNTIFS(Rankings!$D$2:$D$987, Rankings!$D363, Rankings!$F$2:$F$987, Rankings!$F363, Rankings!$G$2:$G$987, "&lt;"&amp;Rankings!$G363)+1, "TBD")</f>
        <v>1</v>
      </c>
      <c r="T363" s="426">
        <v>1.0</v>
      </c>
      <c r="U363" s="427" t="b">
        <f>Rankings!$S363=Rankings!$T363</f>
        <v>1</v>
      </c>
      <c r="V363" s="329"/>
      <c r="W363" s="329" t="s">
        <v>1065</v>
      </c>
    </row>
    <row r="364" ht="15.0" customHeight="1">
      <c r="A364" s="134"/>
      <c r="B364" s="134"/>
      <c r="C364" s="134"/>
      <c r="D364" s="402">
        <f>D363</f>
        <v>46029</v>
      </c>
      <c r="E364" s="403" t="str">
        <f>$L$1</f>
        <v>Parker</v>
      </c>
      <c r="F364" s="404">
        <f>IFERROR(AVERAGE(Rankings!$K364:$P364), "TBD")</f>
        <v>4.833333333</v>
      </c>
      <c r="G364" s="404">
        <f>IFERROR(_xlfn.STDEV.P(Rankings!$K364:$P364), "TBD")</f>
        <v>0.6871842709</v>
      </c>
      <c r="H364" s="404">
        <f>IFERROR(AVERAGE(Rankings!$K364, Rankings!$M364:$P364), "TBD")</f>
        <v>5</v>
      </c>
      <c r="I364" s="429" t="s">
        <v>1066</v>
      </c>
      <c r="J364" s="429" t="s">
        <v>1067</v>
      </c>
      <c r="K364" s="430">
        <v>6.0</v>
      </c>
      <c r="L364" s="431">
        <v>4.0</v>
      </c>
      <c r="M364" s="431">
        <v>4.0</v>
      </c>
      <c r="N364" s="431">
        <v>5.0</v>
      </c>
      <c r="O364" s="431">
        <v>5.0</v>
      </c>
      <c r="P364" s="431">
        <v>5.0</v>
      </c>
      <c r="Q364" s="432"/>
      <c r="R364" s="433"/>
      <c r="S364" s="405">
        <f>IF(SUM(Rankings!$K364:$P364)&gt;0, COUNTIFS(Rankings!$D$2:$D$987, Rankings!$D364, Rankings!$F$2:$F$987, "&lt;"&amp;Rankings!$F364) + COUNTIFS(Rankings!$D$2:$D$987, Rankings!$D364, Rankings!$F$2:$F$987, Rankings!$F364, Rankings!$G$2:$G$987, "&lt;"&amp;Rankings!$G364)+1, "TBD")</f>
        <v>6</v>
      </c>
      <c r="T364" s="434">
        <v>1.0</v>
      </c>
      <c r="U364" s="435" t="b">
        <f>Rankings!$S364=Rankings!$T364</f>
        <v>0</v>
      </c>
      <c r="V364" s="330"/>
      <c r="W364" s="153"/>
    </row>
    <row r="365" ht="15.0" customHeight="1">
      <c r="A365" s="134"/>
      <c r="B365" s="134"/>
      <c r="C365" s="134"/>
      <c r="D365" s="406">
        <f>D363</f>
        <v>46029</v>
      </c>
      <c r="E365" s="407" t="str">
        <f>$M$1</f>
        <v>Giacomo</v>
      </c>
      <c r="F365" s="408">
        <f>IFERROR(AVERAGE(Rankings!$K365:$P365), "TBD")</f>
        <v>2.833333333</v>
      </c>
      <c r="G365" s="408">
        <f>IFERROR(_xlfn.STDEV.P(Rankings!$K365:$P365), "TBD")</f>
        <v>1.067187373</v>
      </c>
      <c r="H365" s="408">
        <f>IFERROR(AVERAGE(Rankings!$K365:$L365, Rankings!$N365:$P365), "TBD")</f>
        <v>3</v>
      </c>
      <c r="I365" s="437" t="s">
        <v>1068</v>
      </c>
      <c r="J365" s="437" t="s">
        <v>1069</v>
      </c>
      <c r="K365" s="430">
        <v>3.0</v>
      </c>
      <c r="L365" s="431">
        <v>1.0</v>
      </c>
      <c r="M365" s="431">
        <v>2.0</v>
      </c>
      <c r="N365" s="431">
        <v>4.0</v>
      </c>
      <c r="O365" s="431">
        <v>4.0</v>
      </c>
      <c r="P365" s="131">
        <v>3.0</v>
      </c>
      <c r="Q365" s="441"/>
      <c r="R365" s="433"/>
      <c r="S365" s="405">
        <f>IF(SUM(Rankings!$K365:$P365)&gt;0, COUNTIFS(Rankings!$D$2:$D$987, Rankings!$D365, Rankings!$F$2:$F$987, "&lt;"&amp;Rankings!$F365) + COUNTIFS(Rankings!$D$2:$D$987, Rankings!$D365, Rankings!$F$2:$F$987, Rankings!$F365, Rankings!$G$2:$G$987, "&lt;"&amp;Rankings!$G365)+1, "TBD")</f>
        <v>2</v>
      </c>
      <c r="T365" s="434">
        <v>1.0</v>
      </c>
      <c r="U365" s="435" t="b">
        <f>Rankings!$S365=Rankings!$T365</f>
        <v>0</v>
      </c>
      <c r="V365" s="330"/>
      <c r="W365" s="153"/>
    </row>
    <row r="366" ht="15.0" customHeight="1">
      <c r="A366" s="134"/>
      <c r="B366" s="134"/>
      <c r="C366" s="134"/>
      <c r="D366" s="409">
        <f>D363</f>
        <v>46029</v>
      </c>
      <c r="E366" s="410" t="str">
        <f>$N$1</f>
        <v>Rosey</v>
      </c>
      <c r="F366" s="411">
        <f>IFERROR(AVERAGE(Rankings!$K366:$P366), "TBD")</f>
        <v>3.833333333</v>
      </c>
      <c r="G366" s="411">
        <f>IFERROR(_xlfn.STDEV.P(Rankings!$K366:$P366), "TBD")</f>
        <v>1.950783318</v>
      </c>
      <c r="H366" s="411">
        <f>IFERROR(AVERAGE(Rankings!$K366:$M366, Rankings!$O366:$P366), "TBD")</f>
        <v>4.2</v>
      </c>
      <c r="I366" s="438" t="s">
        <v>1070</v>
      </c>
      <c r="J366" s="438" t="s">
        <v>1071</v>
      </c>
      <c r="K366" s="430">
        <v>5.0</v>
      </c>
      <c r="L366" s="431">
        <v>3.0</v>
      </c>
      <c r="M366" s="431">
        <v>1.0</v>
      </c>
      <c r="N366" s="431">
        <v>2.0</v>
      </c>
      <c r="O366" s="431">
        <v>6.0</v>
      </c>
      <c r="P366" s="431">
        <v>6.0</v>
      </c>
      <c r="Q366" s="432"/>
      <c r="R366" s="433"/>
      <c r="S366" s="405">
        <f>IF(SUM(Rankings!$K366:$P366)&gt;0, COUNTIFS(Rankings!$D$2:$D$987, Rankings!$D366, Rankings!$F$2:$F$987, "&lt;"&amp;Rankings!$F366) + COUNTIFS(Rankings!$D$2:$D$987, Rankings!$D366, Rankings!$F$2:$F$987, Rankings!$F366, Rankings!$G$2:$G$987, "&lt;"&amp;Rankings!$G366)+1, "TBD")</f>
        <v>4</v>
      </c>
      <c r="T366" s="434">
        <v>1.0</v>
      </c>
      <c r="U366" s="435" t="b">
        <f>Rankings!$S366=Rankings!$T366</f>
        <v>0</v>
      </c>
      <c r="V366" s="330"/>
      <c r="W366" s="153"/>
    </row>
    <row r="367" ht="15.0" customHeight="1">
      <c r="A367" s="134"/>
      <c r="B367" s="134"/>
      <c r="C367" s="134"/>
      <c r="D367" s="412">
        <f t="shared" ref="D367:D368" si="53">D363</f>
        <v>46029</v>
      </c>
      <c r="E367" s="413" t="str">
        <f>$O$1</f>
        <v>TTAC</v>
      </c>
      <c r="F367" s="414">
        <f>IFERROR(AVERAGE(Rankings!$K367:$P367), "TBD")</f>
        <v>4.5</v>
      </c>
      <c r="G367" s="414">
        <f>IFERROR(_xlfn.STDEV.P(Rankings!$K367:$P367), "TBD")</f>
        <v>1.802775638</v>
      </c>
      <c r="H367" s="414">
        <f>IFERROR(AVERAGE(Rankings!$K367:$N367, Rankings!$P367), "TBD")</f>
        <v>5.2</v>
      </c>
      <c r="I367" s="439" t="s">
        <v>1072</v>
      </c>
      <c r="J367" s="439" t="s">
        <v>1073</v>
      </c>
      <c r="K367" s="430">
        <v>4.0</v>
      </c>
      <c r="L367" s="431">
        <v>6.0</v>
      </c>
      <c r="M367" s="431">
        <v>6.0</v>
      </c>
      <c r="N367" s="431">
        <v>6.0</v>
      </c>
      <c r="O367" s="431">
        <v>1.0</v>
      </c>
      <c r="P367" s="431">
        <v>4.0</v>
      </c>
      <c r="Q367" s="432"/>
      <c r="R367" s="433"/>
      <c r="S367" s="405">
        <f>IF(SUM(Rankings!$K367:$P367)&gt;0, COUNTIFS(Rankings!$D$2:$D$987, Rankings!$D367, Rankings!$F$2:$F$987, "&lt;"&amp;Rankings!$F367) + COUNTIFS(Rankings!$D$2:$D$987, Rankings!$D367, Rankings!$F$2:$F$987, Rankings!$F367, Rankings!$G$2:$G$987, "&lt;"&amp;Rankings!$G367)+1, "TBD")</f>
        <v>5</v>
      </c>
      <c r="T367" s="434">
        <v>1.0</v>
      </c>
      <c r="U367" s="435" t="b">
        <f>Rankings!$S367=Rankings!$T367</f>
        <v>0</v>
      </c>
      <c r="V367" s="330"/>
      <c r="W367" s="153"/>
    </row>
    <row r="368" ht="15.0" customHeight="1">
      <c r="A368" s="189"/>
      <c r="B368" s="189"/>
      <c r="C368" s="189"/>
      <c r="D368" s="415">
        <f t="shared" si="53"/>
        <v>46029</v>
      </c>
      <c r="E368" s="416" t="str">
        <f>$P$1</f>
        <v>Weston</v>
      </c>
      <c r="F368" s="417">
        <f>IFERROR(AVERAGE(Rankings!$K368:$P368), "TBD")</f>
        <v>3.333333333</v>
      </c>
      <c r="G368" s="418">
        <f>IFERROR(_xlfn.STDEV.P(Rankings!$K368:$P368), "TBD")</f>
        <v>1.247219129</v>
      </c>
      <c r="H368" s="418">
        <f>IFERROR(AVERAGE(Rankings!$K368:$O368), "TBD")</f>
        <v>3.6</v>
      </c>
      <c r="I368" s="440" t="s">
        <v>1074</v>
      </c>
      <c r="J368" s="440" t="s">
        <v>1075</v>
      </c>
      <c r="K368" s="430">
        <v>2.0</v>
      </c>
      <c r="L368" s="431">
        <v>5.0</v>
      </c>
      <c r="M368" s="431">
        <v>5.0</v>
      </c>
      <c r="N368" s="431">
        <v>3.0</v>
      </c>
      <c r="O368" s="431">
        <v>3.0</v>
      </c>
      <c r="P368" s="431">
        <v>2.0</v>
      </c>
      <c r="Q368" s="432"/>
      <c r="R368" s="433"/>
      <c r="S368" s="405">
        <f>IF(SUM(Rankings!$K368:$P368)&gt;0, COUNTIFS(Rankings!$D$2:$D$987, Rankings!$D368, Rankings!$F$2:$F$987, "&lt;"&amp;Rankings!$F368) + COUNTIFS(Rankings!$D$2:$D$987, Rankings!$D368, Rankings!$F$2:$F$987, Rankings!$F368, Rankings!$G$2:$G$987, "&lt;"&amp;Rankings!$G368)+1, "TBD")</f>
        <v>3</v>
      </c>
      <c r="T368" s="434">
        <v>1.0</v>
      </c>
      <c r="U368" s="435" t="b">
        <f>Rankings!$S368=Rankings!$T368</f>
        <v>0</v>
      </c>
      <c r="V368" s="330"/>
      <c r="W368" s="208"/>
    </row>
    <row r="369" ht="15.0" customHeight="1">
      <c r="A369" s="103">
        <v>46031.0</v>
      </c>
      <c r="B369" s="420"/>
      <c r="C369" s="104" t="str">
        <f t="array" ref="C369">INDEX(Rankings!$E369:$E374, MATCH(1, (Rankings!$D369:$D374=$A369)*(Rankings!$U369:$U374=TRUE()), 0))</f>
        <v>Rosey</v>
      </c>
      <c r="D369" s="398">
        <f>A369</f>
        <v>46031</v>
      </c>
      <c r="E369" s="399" t="str">
        <f>$K$1</f>
        <v>Logan</v>
      </c>
      <c r="F369" s="400">
        <f>IFERROR(AVERAGE(Rankings!$K369:$P369), "TBD")</f>
        <v>5.166666667</v>
      </c>
      <c r="G369" s="400">
        <f>IFERROR(_xlfn.STDEV.P(Rankings!$K369:$P369), "TBD")</f>
        <v>0.8975274679</v>
      </c>
      <c r="H369" s="400">
        <f>IFERROR(AVERAGE(Rankings!$L369:$P369), "TBD")</f>
        <v>5</v>
      </c>
      <c r="I369" s="421" t="s">
        <v>1076</v>
      </c>
      <c r="J369" s="421" t="s">
        <v>1077</v>
      </c>
      <c r="K369" s="422">
        <v>6.0</v>
      </c>
      <c r="L369" s="423">
        <v>4.0</v>
      </c>
      <c r="M369" s="423">
        <v>6.0</v>
      </c>
      <c r="N369" s="423">
        <v>5.0</v>
      </c>
      <c r="O369" s="423">
        <v>4.0</v>
      </c>
      <c r="P369" s="423">
        <v>6.0</v>
      </c>
      <c r="Q369" s="424"/>
      <c r="R369" s="425"/>
      <c r="S369" s="401">
        <f>IF(SUM(Rankings!$K369:$P369)&gt;0, COUNTIFS(Rankings!$D$2:$D$987, Rankings!$D369, Rankings!$F$2:$F$987, "&lt;"&amp;Rankings!$F369) + COUNTIFS(Rankings!$D$2:$D$987, Rankings!$D369, Rankings!$F$2:$F$987, Rankings!$F369, Rankings!$G$2:$G$987, "&lt;"&amp;Rankings!$G369)+1, "TBD")</f>
        <v>6</v>
      </c>
      <c r="T369" s="426">
        <v>1.0</v>
      </c>
      <c r="U369" s="427" t="b">
        <f>Rankings!$S369=Rankings!$T369</f>
        <v>0</v>
      </c>
      <c r="V369" s="259"/>
      <c r="W369" s="259" t="s">
        <v>1078</v>
      </c>
    </row>
    <row r="370" ht="15.0" customHeight="1">
      <c r="A370" s="134"/>
      <c r="B370" s="134"/>
      <c r="C370" s="134"/>
      <c r="D370" s="402">
        <f>D369</f>
        <v>46031</v>
      </c>
      <c r="E370" s="403" t="str">
        <f>$L$1</f>
        <v>Parker</v>
      </c>
      <c r="F370" s="404">
        <f>IFERROR(AVERAGE(Rankings!$K370:$P370), "TBD")</f>
        <v>2.833333333</v>
      </c>
      <c r="G370" s="404">
        <f>IFERROR(_xlfn.STDEV.P(Rankings!$K370:$P370), "TBD")</f>
        <v>0.6871842709</v>
      </c>
      <c r="H370" s="404">
        <f>IFERROR(AVERAGE(Rankings!$K370, Rankings!$M370:$P370), "TBD")</f>
        <v>3</v>
      </c>
      <c r="I370" s="429" t="s">
        <v>1079</v>
      </c>
      <c r="J370" s="429" t="s">
        <v>1080</v>
      </c>
      <c r="K370" s="430">
        <v>2.0</v>
      </c>
      <c r="L370" s="431">
        <v>2.0</v>
      </c>
      <c r="M370" s="431">
        <v>3.0</v>
      </c>
      <c r="N370" s="431">
        <v>4.0</v>
      </c>
      <c r="O370" s="431">
        <v>3.0</v>
      </c>
      <c r="P370" s="431">
        <v>3.0</v>
      </c>
      <c r="Q370" s="432"/>
      <c r="R370" s="433"/>
      <c r="S370" s="405">
        <f>IF(SUM(Rankings!$K370:$P370)&gt;0, COUNTIFS(Rankings!$D$2:$D$987, Rankings!$D370, Rankings!$F$2:$F$987, "&lt;"&amp;Rankings!$F370) + COUNTIFS(Rankings!$D$2:$D$987, Rankings!$D370, Rankings!$F$2:$F$987, Rankings!$F370, Rankings!$G$2:$G$987, "&lt;"&amp;Rankings!$G370)+1, "TBD")</f>
        <v>2</v>
      </c>
      <c r="T370" s="434">
        <v>1.0</v>
      </c>
      <c r="U370" s="435" t="b">
        <f>Rankings!$S370=Rankings!$T370</f>
        <v>0</v>
      </c>
      <c r="V370" s="260"/>
      <c r="W370" s="153"/>
    </row>
    <row r="371" ht="15.0" customHeight="1">
      <c r="A371" s="134"/>
      <c r="B371" s="134"/>
      <c r="C371" s="134"/>
      <c r="D371" s="406">
        <f>D369</f>
        <v>46031</v>
      </c>
      <c r="E371" s="407" t="str">
        <f>$M$1</f>
        <v>Giacomo</v>
      </c>
      <c r="F371" s="408">
        <f>IFERROR(AVERAGE(Rankings!$K371:$P371), "TBD")</f>
        <v>3.333333333</v>
      </c>
      <c r="G371" s="408">
        <f>IFERROR(_xlfn.STDEV.P(Rankings!$K371:$P371), "TBD")</f>
        <v>0.9428090416</v>
      </c>
      <c r="H371" s="408">
        <f>IFERROR(AVERAGE(Rankings!$K371:$L371, Rankings!$N371:$P371), "TBD")</f>
        <v>3.6</v>
      </c>
      <c r="I371" s="437" t="s">
        <v>1081</v>
      </c>
      <c r="J371" s="437" t="s">
        <v>1082</v>
      </c>
      <c r="K371" s="430">
        <v>3.0</v>
      </c>
      <c r="L371" s="431">
        <v>3.0</v>
      </c>
      <c r="M371" s="431">
        <v>2.0</v>
      </c>
      <c r="N371" s="431">
        <v>3.0</v>
      </c>
      <c r="O371" s="431">
        <v>5.0</v>
      </c>
      <c r="P371" s="431">
        <v>4.0</v>
      </c>
      <c r="Q371" s="432"/>
      <c r="R371" s="433"/>
      <c r="S371" s="405">
        <f>IF(SUM(Rankings!$K371:$P371)&gt;0, COUNTIFS(Rankings!$D$2:$D$987, Rankings!$D371, Rankings!$F$2:$F$987, "&lt;"&amp;Rankings!$F371) + COUNTIFS(Rankings!$D$2:$D$987, Rankings!$D371, Rankings!$F$2:$F$987, Rankings!$F371, Rankings!$G$2:$G$987, "&lt;"&amp;Rankings!$G371)+1, "TBD")</f>
        <v>4</v>
      </c>
      <c r="T371" s="434">
        <v>1.0</v>
      </c>
      <c r="U371" s="435" t="b">
        <f>Rankings!$S371=Rankings!$T371</f>
        <v>0</v>
      </c>
      <c r="V371" s="260"/>
      <c r="W371" s="153"/>
    </row>
    <row r="372" ht="15.0" customHeight="1">
      <c r="A372" s="134"/>
      <c r="B372" s="134"/>
      <c r="C372" s="134"/>
      <c r="D372" s="409">
        <f>D369</f>
        <v>46031</v>
      </c>
      <c r="E372" s="410" t="str">
        <f>$N$1</f>
        <v>Rosey</v>
      </c>
      <c r="F372" s="411">
        <f>IFERROR(AVERAGE(Rankings!$K372:$P372), "TBD")</f>
        <v>1.833333333</v>
      </c>
      <c r="G372" s="411">
        <f>IFERROR(_xlfn.STDEV.P(Rankings!$K372:$P372), "TBD")</f>
        <v>1.067187373</v>
      </c>
      <c r="H372" s="411">
        <f>IFERROR(AVERAGE(Rankings!$K372:$M372, Rankings!$O372:$P372), "TBD")</f>
        <v>2</v>
      </c>
      <c r="I372" s="438" t="s">
        <v>1083</v>
      </c>
      <c r="J372" s="438" t="s">
        <v>1084</v>
      </c>
      <c r="K372" s="430">
        <v>1.0</v>
      </c>
      <c r="L372" s="431">
        <v>1.0</v>
      </c>
      <c r="M372" s="431">
        <v>4.0</v>
      </c>
      <c r="N372" s="431">
        <v>1.0</v>
      </c>
      <c r="O372" s="431">
        <v>2.0</v>
      </c>
      <c r="P372" s="431">
        <v>2.0</v>
      </c>
      <c r="Q372" s="432"/>
      <c r="R372" s="433"/>
      <c r="S372" s="405">
        <f>IF(SUM(Rankings!$K372:$P372)&gt;0, COUNTIFS(Rankings!$D$2:$D$987, Rankings!$D372, Rankings!$F$2:$F$987, "&lt;"&amp;Rankings!$F372) + COUNTIFS(Rankings!$D$2:$D$987, Rankings!$D372, Rankings!$F$2:$F$987, Rankings!$F372, Rankings!$G$2:$G$987, "&lt;"&amp;Rankings!$G372)+1, "TBD")</f>
        <v>1</v>
      </c>
      <c r="T372" s="434">
        <v>1.0</v>
      </c>
      <c r="U372" s="435" t="b">
        <f>Rankings!$S372=Rankings!$T372</f>
        <v>1</v>
      </c>
      <c r="V372" s="260"/>
      <c r="W372" s="153"/>
    </row>
    <row r="373" ht="15.0" customHeight="1">
      <c r="A373" s="134"/>
      <c r="B373" s="134"/>
      <c r="C373" s="134"/>
      <c r="D373" s="412">
        <f t="shared" ref="D373:D374" si="54">D369</f>
        <v>46031</v>
      </c>
      <c r="E373" s="413" t="str">
        <f>$O$1</f>
        <v>TTAC</v>
      </c>
      <c r="F373" s="414">
        <f>IFERROR(AVERAGE(Rankings!$K373:$P373), "TBD")</f>
        <v>4.666666667</v>
      </c>
      <c r="G373" s="414">
        <f>IFERROR(_xlfn.STDEV.P(Rankings!$K373:$P373), "TBD")</f>
        <v>1.699673171</v>
      </c>
      <c r="H373" s="414">
        <f>IFERROR(AVERAGE(Rankings!$K373:$N373, Rankings!$P373), "TBD")</f>
        <v>5.4</v>
      </c>
      <c r="I373" s="439" t="s">
        <v>1085</v>
      </c>
      <c r="J373" s="439" t="s">
        <v>1086</v>
      </c>
      <c r="K373" s="430">
        <v>5.0</v>
      </c>
      <c r="L373" s="431">
        <v>6.0</v>
      </c>
      <c r="M373" s="431">
        <v>5.0</v>
      </c>
      <c r="N373" s="431">
        <v>6.0</v>
      </c>
      <c r="O373" s="431">
        <v>1.0</v>
      </c>
      <c r="P373" s="431">
        <v>5.0</v>
      </c>
      <c r="Q373" s="432"/>
      <c r="R373" s="433"/>
      <c r="S373" s="405">
        <f>IF(SUM(Rankings!$K373:$P373)&gt;0, COUNTIFS(Rankings!$D$2:$D$987, Rankings!$D373, Rankings!$F$2:$F$987, "&lt;"&amp;Rankings!$F373) + COUNTIFS(Rankings!$D$2:$D$987, Rankings!$D373, Rankings!$F$2:$F$987, Rankings!$F373, Rankings!$G$2:$G$987, "&lt;"&amp;Rankings!$G373)+1, "TBD")</f>
        <v>5</v>
      </c>
      <c r="T373" s="434">
        <v>1.0</v>
      </c>
      <c r="U373" s="435" t="b">
        <f>Rankings!$S373=Rankings!$T373</f>
        <v>0</v>
      </c>
      <c r="V373" s="260"/>
      <c r="W373" s="153"/>
    </row>
    <row r="374" ht="15.0" customHeight="1">
      <c r="A374" s="189"/>
      <c r="B374" s="189"/>
      <c r="C374" s="189"/>
      <c r="D374" s="415">
        <f t="shared" si="54"/>
        <v>46031</v>
      </c>
      <c r="E374" s="416" t="str">
        <f>$P$1</f>
        <v>Weston</v>
      </c>
      <c r="F374" s="417">
        <f>IFERROR(AVERAGE(Rankings!$K374:$P374), "TBD")</f>
        <v>3.166666667</v>
      </c>
      <c r="G374" s="418">
        <f>IFERROR(_xlfn.STDEV.P(Rankings!$K374:$P374), "TBD")</f>
        <v>1.950783318</v>
      </c>
      <c r="H374" s="418">
        <f>IFERROR(AVERAGE(Rankings!$K374:$O374), "TBD")</f>
        <v>3.6</v>
      </c>
      <c r="I374" s="440" t="s">
        <v>1087</v>
      </c>
      <c r="J374" s="440" t="s">
        <v>1088</v>
      </c>
      <c r="K374" s="430">
        <v>4.0</v>
      </c>
      <c r="L374" s="431">
        <v>5.0</v>
      </c>
      <c r="M374" s="431">
        <v>1.0</v>
      </c>
      <c r="N374" s="431">
        <v>2.0</v>
      </c>
      <c r="O374" s="431">
        <v>6.0</v>
      </c>
      <c r="P374" s="431">
        <v>1.0</v>
      </c>
      <c r="Q374" s="432"/>
      <c r="R374" s="433"/>
      <c r="S374" s="405">
        <f>IF(SUM(Rankings!$K374:$P374)&gt;0, COUNTIFS(Rankings!$D$2:$D$987, Rankings!$D374, Rankings!$F$2:$F$987, "&lt;"&amp;Rankings!$F374) + COUNTIFS(Rankings!$D$2:$D$987, Rankings!$D374, Rankings!$F$2:$F$987, Rankings!$F374, Rankings!$G$2:$G$987, "&lt;"&amp;Rankings!$G374)+1, "TBD")</f>
        <v>3</v>
      </c>
      <c r="T374" s="434">
        <v>1.0</v>
      </c>
      <c r="U374" s="435" t="b">
        <f>Rankings!$S374=Rankings!$T374</f>
        <v>0</v>
      </c>
      <c r="V374" s="260"/>
      <c r="W374" s="208"/>
      <c r="Y374" s="442" t="s">
        <v>1089</v>
      </c>
      <c r="Z374" s="442" t="s">
        <v>1090</v>
      </c>
    </row>
    <row r="375" ht="15.0" customHeight="1">
      <c r="A375" s="103">
        <v>46034.0</v>
      </c>
      <c r="B375" s="420"/>
      <c r="C375" s="104" t="str">
        <f t="array" ref="C375">INDEX(Rankings!$E375:$E380, MATCH(1, (Rankings!$D375:$D380=$A375)*(Rankings!$U375:$U380=TRUE()), 0))</f>
        <v>Parker</v>
      </c>
      <c r="D375" s="398">
        <f>A375</f>
        <v>46034</v>
      </c>
      <c r="E375" s="399" t="str">
        <f>$K$1</f>
        <v>Logan</v>
      </c>
      <c r="F375" s="400">
        <f>IFERROR(AVERAGE(Rankings!$K375:$R375), "TBD")</f>
        <v>4.833333333</v>
      </c>
      <c r="G375" s="400">
        <f>IFERROR(_xlfn.STDEV.P(Rankings!$K375:$R375), "TBD")</f>
        <v>1.462494065</v>
      </c>
      <c r="H375" s="400">
        <f>IFERROR(AVERAGE(Rankings!$L375:$R375), "TBD")</f>
        <v>5.4</v>
      </c>
      <c r="I375" s="421" t="s">
        <v>1091</v>
      </c>
      <c r="J375" s="421" t="s">
        <v>1092</v>
      </c>
      <c r="K375" s="422">
        <v>2.0</v>
      </c>
      <c r="L375" s="423">
        <v>6.0</v>
      </c>
      <c r="M375" s="423">
        <v>5.0</v>
      </c>
      <c r="N375" s="423">
        <v>4.0</v>
      </c>
      <c r="O375" s="423">
        <v>6.0</v>
      </c>
      <c r="P375" s="423">
        <v>6.0</v>
      </c>
      <c r="Q375" s="424"/>
      <c r="R375" s="425"/>
      <c r="S375" s="401">
        <f>IF(SUM(Rankings!$K375:$R375)&gt;0, COUNTIFS(Rankings!$D$2:$D$987, Rankings!$D375, Rankings!$F$2:$F$987, "&lt;"&amp;Rankings!$F375) + COUNTIFS(Rankings!$D$2:$D$987, Rankings!$D375, Rankings!$F$2:$F$987, Rankings!$F375, Rankings!$H$2:$H$987, "&lt;"&amp;Rankings!$H375)+1, "TBD")</f>
        <v>6</v>
      </c>
      <c r="T375" s="426">
        <v>1.0</v>
      </c>
      <c r="U375" s="427" t="b">
        <f>Rankings!$S375=Rankings!$T375</f>
        <v>0</v>
      </c>
      <c r="V375" s="428"/>
      <c r="W375" s="428"/>
      <c r="Y375" s="443">
        <f>IF(ISTEXT(Rankings!F375), "TBD", (RANK(F375,$F375:$F380)+(RANK(H375,$H375:$H380)/10)+(RANK(G375,$G375:$G380)/100)))</f>
        <v>1.15</v>
      </c>
      <c r="Z375" s="234">
        <f>IF(ISTEXT($Y375), "TBD", RANK(Y375,$Y375:$Y380))</f>
        <v>6</v>
      </c>
    </row>
    <row r="376" ht="15.0" customHeight="1">
      <c r="A376" s="134"/>
      <c r="B376" s="134"/>
      <c r="C376" s="134"/>
      <c r="D376" s="402">
        <f>D375</f>
        <v>46034</v>
      </c>
      <c r="E376" s="403" t="str">
        <f>$L$1</f>
        <v>Parker</v>
      </c>
      <c r="F376" s="404">
        <f>IFERROR(AVERAGE(Rankings!$K376:$R376), "TBD")</f>
        <v>3</v>
      </c>
      <c r="G376" s="404">
        <f>IFERROR(_xlfn.STDEV.P(Rankings!$K376:$R376), "TBD")</f>
        <v>1.732050808</v>
      </c>
      <c r="H376" s="404">
        <f>IFERROR(AVERAGE(Rankings!$K376, Rankings!$M376:$R376), "TBD")</f>
        <v>3.4</v>
      </c>
      <c r="I376" s="429" t="s">
        <v>415</v>
      </c>
      <c r="J376" s="429" t="s">
        <v>1093</v>
      </c>
      <c r="K376" s="430">
        <v>1.0</v>
      </c>
      <c r="L376" s="431">
        <v>1.0</v>
      </c>
      <c r="M376" s="431">
        <v>2.0</v>
      </c>
      <c r="N376" s="431">
        <v>5.0</v>
      </c>
      <c r="O376" s="431">
        <v>5.0</v>
      </c>
      <c r="P376" s="431">
        <v>4.0</v>
      </c>
      <c r="Q376" s="432"/>
      <c r="R376" s="433"/>
      <c r="S376" s="405">
        <f>IF(SUM(Rankings!$K376:$R376)&gt;0, COUNTIFS(Rankings!$D$2:$D$987, Rankings!$D376, Rankings!$F$2:$F$987, "&lt;"&amp;Rankings!$F376) + COUNTIFS(Rankings!$D$2:$D$987, Rankings!$D376, Rankings!$F$2:$F$987, Rankings!$F376, Rankings!$H$2:$H$987, "&lt;"&amp;Rankings!$H376)+1, "TBD")</f>
        <v>1</v>
      </c>
      <c r="T376" s="434">
        <v>1.0</v>
      </c>
      <c r="U376" s="435" t="b">
        <f>Rankings!$S376=Rankings!$T376</f>
        <v>1</v>
      </c>
      <c r="V376" s="436"/>
      <c r="W376" s="153"/>
      <c r="Y376" s="443">
        <f>IF(ISTEXT(Rankings!F376), "TBD", (RANK(F376,$F375:$F380)+(RANK(H376,$H375:$H380)/10)+(RANK(G376,$G375:$G380)/100)))</f>
        <v>5.53</v>
      </c>
      <c r="Z376" s="234">
        <f>IF(ISTEXT($Y375), "TBD", RANK(Y376,$Y375:$Y380))</f>
        <v>1</v>
      </c>
    </row>
    <row r="377" ht="15.0" customHeight="1">
      <c r="A377" s="134"/>
      <c r="B377" s="134"/>
      <c r="C377" s="134"/>
      <c r="D377" s="406">
        <f>D375</f>
        <v>46034</v>
      </c>
      <c r="E377" s="407" t="str">
        <f>$M$1</f>
        <v>Giacomo</v>
      </c>
      <c r="F377" s="408">
        <f>IFERROR(AVERAGE(Rankings!$K377:$R377), "TBD")</f>
        <v>3</v>
      </c>
      <c r="G377" s="408">
        <f>IFERROR(_xlfn.STDEV.P(Rankings!$K377:$R377), "TBD")</f>
        <v>1.914854216</v>
      </c>
      <c r="H377" s="408">
        <f>IFERROR(AVERAGE(Rankings!$K377:$L377, Rankings!$N377:$R377), "TBD")</f>
        <v>3.4</v>
      </c>
      <c r="I377" s="437" t="s">
        <v>1094</v>
      </c>
      <c r="J377" s="437" t="s">
        <v>1095</v>
      </c>
      <c r="K377" s="430">
        <v>5.0</v>
      </c>
      <c r="L377" s="431">
        <v>3.0</v>
      </c>
      <c r="M377" s="431">
        <v>1.0</v>
      </c>
      <c r="N377" s="431">
        <v>6.0</v>
      </c>
      <c r="O377" s="431">
        <v>1.0</v>
      </c>
      <c r="P377" s="431">
        <v>2.0</v>
      </c>
      <c r="Q377" s="432"/>
      <c r="R377" s="433"/>
      <c r="S377" s="405">
        <f>IF(SUM(Rankings!$K377:$R377)&gt;0, COUNTIFS(Rankings!$D$2:$D$987, Rankings!$D377, Rankings!$F$2:$F$987, "&lt;"&amp;Rankings!$F377) + COUNTIFS(Rankings!$D$2:$D$987, Rankings!$D377, Rankings!$F$2:$F$987, Rankings!$F377, Rankings!$H$2:$H$987, "&lt;"&amp;Rankings!$H377)+1, "TBD")</f>
        <v>1</v>
      </c>
      <c r="T377" s="444">
        <v>2.0</v>
      </c>
      <c r="U377" s="435" t="b">
        <f>Rankings!$S377=Rankings!$T377</f>
        <v>0</v>
      </c>
      <c r="V377" s="436"/>
      <c r="W377" s="153"/>
      <c r="Y377" s="443">
        <f>IF(ISTEXT(Rankings!F377), "TBD", (RANK(F377,$F375:$F380)+(RANK(H377,$H375:$H380)/10)+(RANK(G377,$G375:$G380)/100)))</f>
        <v>5.51</v>
      </c>
      <c r="Z377" s="234">
        <f>IF(ISTEXT($Y377), "TBD", RANK(Y377,$Y375:$Y380))</f>
        <v>2</v>
      </c>
    </row>
    <row r="378" ht="15.0" customHeight="1">
      <c r="A378" s="134"/>
      <c r="B378" s="134"/>
      <c r="C378" s="134"/>
      <c r="D378" s="409">
        <f>D375</f>
        <v>46034</v>
      </c>
      <c r="E378" s="410" t="str">
        <f>$N$1</f>
        <v>Rosey</v>
      </c>
      <c r="F378" s="411">
        <f>IFERROR(AVERAGE(Rankings!$K378:$R378), "TBD")</f>
        <v>3.333333333</v>
      </c>
      <c r="G378" s="411">
        <f>IFERROR(_xlfn.STDEV.P(Rankings!$K378:$R378), "TBD")</f>
        <v>1.699673171</v>
      </c>
      <c r="H378" s="411">
        <f>IFERROR(AVERAGE(Rankings!$K378:$M378, Rankings!$O378:$R378), "TBD")</f>
        <v>3.8</v>
      </c>
      <c r="I378" s="438" t="s">
        <v>1096</v>
      </c>
      <c r="J378" s="438" t="s">
        <v>1097</v>
      </c>
      <c r="K378" s="430">
        <v>3.0</v>
      </c>
      <c r="L378" s="431">
        <v>2.0</v>
      </c>
      <c r="M378" s="431">
        <v>6.0</v>
      </c>
      <c r="N378" s="431">
        <v>1.0</v>
      </c>
      <c r="O378" s="431">
        <v>3.0</v>
      </c>
      <c r="P378" s="431">
        <v>5.0</v>
      </c>
      <c r="Q378" s="432"/>
      <c r="R378" s="433"/>
      <c r="S378" s="405">
        <f>IF(SUM(Rankings!$K378:$R378)&gt;0, COUNTIFS(Rankings!$D$2:$D$987, Rankings!$D378, Rankings!$F$2:$F$987, "&lt;"&amp;Rankings!$F378) + COUNTIFS(Rankings!$D$2:$D$987, Rankings!$D378, Rankings!$F$2:$F$987, Rankings!$F378, Rankings!$H$2:$H$987, "&lt;"&amp;Rankings!$H378)+1, "TBD")</f>
        <v>4</v>
      </c>
      <c r="T378" s="434">
        <v>1.0</v>
      </c>
      <c r="U378" s="435" t="b">
        <f>Rankings!$S378=Rankings!$T378</f>
        <v>0</v>
      </c>
      <c r="V378" s="436"/>
      <c r="W378" s="153"/>
      <c r="Y378" s="443">
        <f>IF(ISTEXT(Rankings!F378), "TBD", (RANK(F378,$F375:$F380)+(RANK(H378,$H375:$H380)/10)+(RANK(G378,$G375:$G380)/100)))</f>
        <v>3.24</v>
      </c>
      <c r="Z378" s="234">
        <f>IF(ISTEXT($Y378), "TBD", RANK(Y378,$Y375:$Y380))</f>
        <v>4</v>
      </c>
    </row>
    <row r="379" ht="15.0" customHeight="1">
      <c r="A379" s="134"/>
      <c r="B379" s="134"/>
      <c r="C379" s="134"/>
      <c r="D379" s="412">
        <f t="shared" ref="D379:D380" si="55">D375</f>
        <v>46034</v>
      </c>
      <c r="E379" s="413" t="str">
        <f>$O$1</f>
        <v>TTAC</v>
      </c>
      <c r="F379" s="414">
        <f>IFERROR(AVERAGE(Rankings!$K379:$R379), "TBD")</f>
        <v>3.333333333</v>
      </c>
      <c r="G379" s="414">
        <f>IFERROR(_xlfn.STDEV.P(Rankings!$K379:$R379), "TBD")</f>
        <v>1.795054936</v>
      </c>
      <c r="H379" s="414">
        <f>IFERROR(AVERAGE(Rankings!$K379:$N379, Rankings!$P379:$R379), "TBD")</f>
        <v>3.6</v>
      </c>
      <c r="I379" s="439" t="s">
        <v>1098</v>
      </c>
      <c r="J379" s="439" t="s">
        <v>1099</v>
      </c>
      <c r="K379" s="430">
        <v>6.0</v>
      </c>
      <c r="L379" s="431">
        <v>5.0</v>
      </c>
      <c r="M379" s="431">
        <v>4.0</v>
      </c>
      <c r="N379" s="431">
        <v>2.0</v>
      </c>
      <c r="O379" s="431">
        <v>2.0</v>
      </c>
      <c r="P379" s="431">
        <v>1.0</v>
      </c>
      <c r="Q379" s="432"/>
      <c r="R379" s="433"/>
      <c r="S379" s="405">
        <f>IF(SUM(Rankings!$K379:$R379)&gt;0, COUNTIFS(Rankings!$D$2:$D$987, Rankings!$D379, Rankings!$F$2:$F$987, "&lt;"&amp;Rankings!$F379) + COUNTIFS(Rankings!$D$2:$D$987, Rankings!$D379, Rankings!$F$2:$F$987, Rankings!$F379, Rankings!$H$2:$H$987, "&lt;"&amp;Rankings!$H379)+1, "TBD")</f>
        <v>3</v>
      </c>
      <c r="T379" s="434">
        <v>1.0</v>
      </c>
      <c r="U379" s="435" t="b">
        <f>Rankings!$S379=Rankings!$T379</f>
        <v>0</v>
      </c>
      <c r="V379" s="436"/>
      <c r="W379" s="153"/>
      <c r="Y379" s="443">
        <f>IF(ISTEXT(Rankings!F379), "TBD", (RANK(F379,$F375:$F380)+(RANK(H379,$H375:$H380)/10)+(RANK(G379,$G375:$G380)/100)))</f>
        <v>3.32</v>
      </c>
      <c r="Z379" s="234">
        <f>IF(ISTEXT($Y379), "TBD", RANK(Y379,$Y375:$Y380))</f>
        <v>3</v>
      </c>
    </row>
    <row r="380" ht="15.0" customHeight="1">
      <c r="A380" s="189"/>
      <c r="B380" s="189"/>
      <c r="C380" s="189"/>
      <c r="D380" s="415">
        <f t="shared" si="55"/>
        <v>46034</v>
      </c>
      <c r="E380" s="416" t="str">
        <f>$P$1</f>
        <v>Weston</v>
      </c>
      <c r="F380" s="417">
        <f>IFERROR(AVERAGE(Rankings!$K380:$R380), "TBD")</f>
        <v>3.5</v>
      </c>
      <c r="G380" s="418">
        <f>IFERROR(_xlfn.STDEV.P(Rankings!$K380:$R380), "TBD")</f>
        <v>0.5</v>
      </c>
      <c r="H380" s="418">
        <f>IFERROR(AVERAGE(Rankings!$K380:$O380, Rankings!$R380), "TBD")</f>
        <v>3.6</v>
      </c>
      <c r="I380" s="440" t="s">
        <v>1100</v>
      </c>
      <c r="J380" s="440" t="s">
        <v>1101</v>
      </c>
      <c r="K380" s="430">
        <v>4.0</v>
      </c>
      <c r="L380" s="431">
        <v>4.0</v>
      </c>
      <c r="M380" s="431">
        <v>3.0</v>
      </c>
      <c r="N380" s="431">
        <v>3.0</v>
      </c>
      <c r="O380" s="431">
        <v>4.0</v>
      </c>
      <c r="P380" s="431">
        <v>3.0</v>
      </c>
      <c r="Q380" s="432"/>
      <c r="R380" s="433"/>
      <c r="S380" s="405">
        <f>IF(SUM(Rankings!$K380:$R380)&gt;0, COUNTIFS(Rankings!$D$2:$D$987, Rankings!$D380, Rankings!$F$2:$F$987, "&lt;"&amp;Rankings!$F380) + COUNTIFS(Rankings!$D$2:$D$987, Rankings!$D380, Rankings!$F$2:$F$987, Rankings!$F380, Rankings!$H$2:$H$987, "&lt;"&amp;Rankings!$H380)+1, "TBD")</f>
        <v>5</v>
      </c>
      <c r="T380" s="434">
        <v>1.0</v>
      </c>
      <c r="U380" s="435" t="b">
        <f>Rankings!$S380=Rankings!$T380</f>
        <v>0</v>
      </c>
      <c r="V380" s="436"/>
      <c r="W380" s="208"/>
      <c r="Y380" s="443">
        <f>IF(ISTEXT(Rankings!F380), "TBD", (RANK(F380,$F375:$F380)+(RANK(H380,$H375:$H380)/10)+(RANK(G380,$G375:$G380)/100)))</f>
        <v>2.36</v>
      </c>
      <c r="Z380" s="234">
        <f>IF(ISTEXT($Y380), "TBD", RANK(Y380,$Y375:$Y380))</f>
        <v>5</v>
      </c>
    </row>
    <row r="381" ht="15.0" customHeight="1">
      <c r="A381" s="103">
        <v>46036.0</v>
      </c>
      <c r="B381" s="420"/>
      <c r="C381" s="104" t="str">
        <f t="array" ref="C381">INDEX(Rankings!$E381:$E386, MATCH(1, (Rankings!$D381:$D386=$A381)*(Rankings!$U381:$U386=TRUE()), 0))</f>
        <v>Logan</v>
      </c>
      <c r="D381" s="398">
        <f>A381</f>
        <v>46036</v>
      </c>
      <c r="E381" s="399" t="str">
        <f>$K$1</f>
        <v>Logan</v>
      </c>
      <c r="F381" s="400">
        <f>IFERROR(AVERAGE(Rankings!$K381:$R381), "TBD")</f>
        <v>2.666666667</v>
      </c>
      <c r="G381" s="400">
        <f>IFERROR(_xlfn.STDEV.P(Rankings!$K381:$R381), "TBD")</f>
        <v>1.247219129</v>
      </c>
      <c r="H381" s="400">
        <f>IFERROR(AVERAGE(Rankings!$L381:$R381), "TBD")</f>
        <v>3</v>
      </c>
      <c r="I381" s="421" t="s">
        <v>1102</v>
      </c>
      <c r="J381" s="421" t="s">
        <v>1103</v>
      </c>
      <c r="K381" s="422">
        <v>1.0</v>
      </c>
      <c r="L381" s="423">
        <v>3.0</v>
      </c>
      <c r="M381" s="423">
        <v>3.0</v>
      </c>
      <c r="N381" s="423">
        <v>4.0</v>
      </c>
      <c r="O381" s="423">
        <v>4.0</v>
      </c>
      <c r="P381" s="423">
        <v>1.0</v>
      </c>
      <c r="Q381" s="424"/>
      <c r="R381" s="425"/>
      <c r="S381" s="401">
        <f>IF(SUM(Rankings!$K381:$R381)&gt;0, COUNTIFS(Rankings!$D$2:$D$987, Rankings!$D381, Rankings!$F$2:$F$987, "&lt;"&amp;Rankings!$F381) + COUNTIFS(Rankings!$D$2:$D$987, Rankings!$D381, Rankings!$F$2:$F$987, Rankings!$F381, Rankings!$H$2:$H$987, "&lt;"&amp;Rankings!$H381)+1, "TBD")</f>
        <v>1</v>
      </c>
      <c r="T381" s="426">
        <v>1.0</v>
      </c>
      <c r="U381" s="427" t="b">
        <f>Rankings!$S381=Rankings!$T381</f>
        <v>1</v>
      </c>
      <c r="V381" s="259"/>
      <c r="W381" s="259" t="s">
        <v>1104</v>
      </c>
      <c r="Y381" s="443"/>
      <c r="Z381" s="234"/>
    </row>
    <row r="382" ht="15.0" customHeight="1">
      <c r="A382" s="134"/>
      <c r="B382" s="134"/>
      <c r="C382" s="134"/>
      <c r="D382" s="402">
        <f>D381</f>
        <v>46036</v>
      </c>
      <c r="E382" s="403" t="str">
        <f>$L$1</f>
        <v>Parker</v>
      </c>
      <c r="F382" s="404">
        <f>IFERROR(AVERAGE(Rankings!$K382:$R382), "TBD")</f>
        <v>2.833333333</v>
      </c>
      <c r="G382" s="404">
        <f>IFERROR(_xlfn.STDEV.P(Rankings!$K382:$R382), "TBD")</f>
        <v>1.863389981</v>
      </c>
      <c r="H382" s="404">
        <f>IFERROR(AVERAGE(Rankings!$K382, Rankings!$M382:$R382), "TBD")</f>
        <v>3.2</v>
      </c>
      <c r="I382" s="429" t="s">
        <v>1105</v>
      </c>
      <c r="J382" s="429" t="s">
        <v>1106</v>
      </c>
      <c r="K382" s="430">
        <v>4.0</v>
      </c>
      <c r="L382" s="431">
        <v>1.0</v>
      </c>
      <c r="M382" s="431">
        <v>1.0</v>
      </c>
      <c r="N382" s="431">
        <v>5.0</v>
      </c>
      <c r="O382" s="431">
        <v>1.0</v>
      </c>
      <c r="P382" s="431">
        <v>5.0</v>
      </c>
      <c r="Q382" s="432"/>
      <c r="R382" s="433"/>
      <c r="S382" s="405">
        <f>IF(SUM(Rankings!$K382:$R382)&gt;0, COUNTIFS(Rankings!$D$2:$D$987, Rankings!$D382, Rankings!$F$2:$F$987, "&lt;"&amp;Rankings!$F382) + COUNTIFS(Rankings!$D$2:$D$987, Rankings!$D382, Rankings!$F$2:$F$987, Rankings!$F382, Rankings!$H$2:$H$987, "&lt;"&amp;Rankings!$H382)+1, "TBD")</f>
        <v>2</v>
      </c>
      <c r="T382" s="434">
        <v>1.0</v>
      </c>
      <c r="U382" s="435" t="b">
        <f>Rankings!$S382=Rankings!$T382</f>
        <v>0</v>
      </c>
      <c r="V382" s="260"/>
      <c r="W382" s="153"/>
      <c r="Y382" s="443"/>
      <c r="Z382" s="234"/>
    </row>
    <row r="383" ht="15.0" customHeight="1">
      <c r="A383" s="134"/>
      <c r="B383" s="134"/>
      <c r="C383" s="134"/>
      <c r="D383" s="406">
        <f>D381</f>
        <v>46036</v>
      </c>
      <c r="E383" s="407" t="str">
        <f>$M$1</f>
        <v>Giacomo</v>
      </c>
      <c r="F383" s="408">
        <f>IFERROR(AVERAGE(Rankings!$K383:$R383), "TBD")</f>
        <v>4.333333333</v>
      </c>
      <c r="G383" s="408">
        <f>IFERROR(_xlfn.STDEV.P(Rankings!$K383:$R383), "TBD")</f>
        <v>1.795054936</v>
      </c>
      <c r="H383" s="408">
        <f>IFERROR(AVERAGE(Rankings!$K383:$L383, Rankings!$N383:$R383), "TBD")</f>
        <v>4.8</v>
      </c>
      <c r="I383" s="437" t="s">
        <v>1107</v>
      </c>
      <c r="J383" s="437" t="s">
        <v>1108</v>
      </c>
      <c r="K383" s="430">
        <v>6.0</v>
      </c>
      <c r="L383" s="431">
        <v>4.0</v>
      </c>
      <c r="M383" s="431">
        <v>2.0</v>
      </c>
      <c r="N383" s="431">
        <v>2.0</v>
      </c>
      <c r="O383" s="431">
        <v>6.0</v>
      </c>
      <c r="P383" s="431">
        <v>6.0</v>
      </c>
      <c r="Q383" s="432"/>
      <c r="R383" s="433"/>
      <c r="S383" s="405">
        <f>IF(SUM(Rankings!$K383:$R383)&gt;0, COUNTIFS(Rankings!$D$2:$D$987, Rankings!$D383, Rankings!$F$2:$F$987, "&lt;"&amp;Rankings!$F383) + COUNTIFS(Rankings!$D$2:$D$987, Rankings!$D383, Rankings!$F$2:$F$987, Rankings!$F383, Rankings!$H$2:$H$987, "&lt;"&amp;Rankings!$H383)+1, "TBD")</f>
        <v>6</v>
      </c>
      <c r="T383" s="434">
        <v>1.0</v>
      </c>
      <c r="U383" s="435" t="b">
        <f>Rankings!$S383=Rankings!$T383</f>
        <v>0</v>
      </c>
      <c r="V383" s="260"/>
      <c r="W383" s="153"/>
      <c r="Y383" s="443"/>
      <c r="Z383" s="234"/>
    </row>
    <row r="384" ht="15.0" customHeight="1">
      <c r="A384" s="134"/>
      <c r="B384" s="134"/>
      <c r="C384" s="134"/>
      <c r="D384" s="409">
        <f>D381</f>
        <v>46036</v>
      </c>
      <c r="E384" s="410" t="str">
        <f>$N$1</f>
        <v>Rosey</v>
      </c>
      <c r="F384" s="411">
        <f>IFERROR(AVERAGE(Rankings!$K384:$R384), "TBD")</f>
        <v>3.333333333</v>
      </c>
      <c r="G384" s="411">
        <f>IFERROR(_xlfn.STDEV.P(Rankings!$K384:$R384), "TBD")</f>
        <v>1.490711985</v>
      </c>
      <c r="H384" s="411">
        <f>IFERROR(AVERAGE(Rankings!$K384:$M384, Rankings!$O384:$R384), "TBD")</f>
        <v>3.8</v>
      </c>
      <c r="I384" s="438" t="s">
        <v>1109</v>
      </c>
      <c r="J384" s="438" t="s">
        <v>1110</v>
      </c>
      <c r="K384" s="430">
        <v>2.0</v>
      </c>
      <c r="L384" s="431">
        <v>5.0</v>
      </c>
      <c r="M384" s="431">
        <v>5.0</v>
      </c>
      <c r="N384" s="431">
        <v>1.0</v>
      </c>
      <c r="O384" s="431">
        <v>3.0</v>
      </c>
      <c r="P384" s="431">
        <v>4.0</v>
      </c>
      <c r="Q384" s="432"/>
      <c r="R384" s="433"/>
      <c r="S384" s="405">
        <f>IF(SUM(Rankings!$K384:$R384)&gt;0, COUNTIFS(Rankings!$D$2:$D$987, Rankings!$D384, Rankings!$F$2:$F$987, "&lt;"&amp;Rankings!$F384) + COUNTIFS(Rankings!$D$2:$D$987, Rankings!$D384, Rankings!$F$2:$F$987, Rankings!$F384, Rankings!$H$2:$H$987, "&lt;"&amp;Rankings!$H384)+1, "TBD")</f>
        <v>3</v>
      </c>
      <c r="T384" s="434">
        <v>1.0</v>
      </c>
      <c r="U384" s="435" t="b">
        <f>Rankings!$S384=Rankings!$T384</f>
        <v>0</v>
      </c>
      <c r="V384" s="260"/>
      <c r="W384" s="153"/>
      <c r="Y384" s="443"/>
      <c r="Z384" s="234"/>
    </row>
    <row r="385" ht="15.0" customHeight="1">
      <c r="A385" s="134"/>
      <c r="B385" s="134"/>
      <c r="C385" s="134"/>
      <c r="D385" s="412">
        <f t="shared" ref="D385:D386" si="56">D381</f>
        <v>46036</v>
      </c>
      <c r="E385" s="413" t="str">
        <f>$O$1</f>
        <v>TTAC</v>
      </c>
      <c r="F385" s="414">
        <f>IFERROR(AVERAGE(Rankings!$K385:$R385), "TBD")</f>
        <v>3.666666667</v>
      </c>
      <c r="G385" s="414">
        <f>IFERROR(_xlfn.STDEV.P(Rankings!$K385:$R385), "TBD")</f>
        <v>1.490711985</v>
      </c>
      <c r="H385" s="414">
        <f>IFERROR(AVERAGE(Rankings!$K385:$N385, Rankings!$P385:$R385), "TBD")</f>
        <v>4</v>
      </c>
      <c r="I385" s="439" t="s">
        <v>1111</v>
      </c>
      <c r="J385" s="439" t="s">
        <v>1112</v>
      </c>
      <c r="K385" s="430">
        <v>5.0</v>
      </c>
      <c r="L385" s="431">
        <v>2.0</v>
      </c>
      <c r="M385" s="431">
        <v>4.0</v>
      </c>
      <c r="N385" s="431">
        <v>6.0</v>
      </c>
      <c r="O385" s="431">
        <v>2.0</v>
      </c>
      <c r="P385" s="431">
        <v>3.0</v>
      </c>
      <c r="Q385" s="432"/>
      <c r="R385" s="433"/>
      <c r="S385" s="405">
        <f>IF(SUM(Rankings!$K385:$R385)&gt;0, COUNTIFS(Rankings!$D$2:$D$987, Rankings!$D385, Rankings!$F$2:$F$987, "&lt;"&amp;Rankings!$F385) + COUNTIFS(Rankings!$D$2:$D$987, Rankings!$D385, Rankings!$F$2:$F$987, Rankings!$F385, Rankings!$H$2:$H$987, "&lt;"&amp;Rankings!$H385)+1, "TBD")</f>
        <v>4</v>
      </c>
      <c r="T385" s="434">
        <v>1.0</v>
      </c>
      <c r="U385" s="435" t="b">
        <f>Rankings!$S385=Rankings!$T385</f>
        <v>0</v>
      </c>
      <c r="V385" s="260"/>
      <c r="W385" s="153"/>
      <c r="Y385" s="443"/>
      <c r="Z385" s="234"/>
    </row>
    <row r="386" ht="15.0" customHeight="1">
      <c r="A386" s="189"/>
      <c r="B386" s="189"/>
      <c r="C386" s="189"/>
      <c r="D386" s="415">
        <f t="shared" si="56"/>
        <v>46036</v>
      </c>
      <c r="E386" s="416" t="str">
        <f>$P$1</f>
        <v>Weston</v>
      </c>
      <c r="F386" s="417">
        <f>IFERROR(AVERAGE(Rankings!$K386:$R386), "TBD")</f>
        <v>4.166666667</v>
      </c>
      <c r="G386" s="418">
        <f>IFERROR(_xlfn.STDEV.P(Rankings!$K386:$R386), "TBD")</f>
        <v>1.572330189</v>
      </c>
      <c r="H386" s="418">
        <f>IFERROR(AVERAGE(Rankings!$K386:$O386, Rankings!$R386), "TBD")</f>
        <v>4.6</v>
      </c>
      <c r="I386" s="440" t="s">
        <v>1113</v>
      </c>
      <c r="J386" s="440" t="s">
        <v>1114</v>
      </c>
      <c r="K386" s="430">
        <v>3.0</v>
      </c>
      <c r="L386" s="431">
        <v>6.0</v>
      </c>
      <c r="M386" s="431">
        <v>6.0</v>
      </c>
      <c r="N386" s="431">
        <v>3.0</v>
      </c>
      <c r="O386" s="431">
        <v>5.0</v>
      </c>
      <c r="P386" s="431">
        <v>2.0</v>
      </c>
      <c r="Q386" s="432"/>
      <c r="R386" s="433"/>
      <c r="S386" s="405">
        <f>IF(SUM(Rankings!$K386:$R386)&gt;0, COUNTIFS(Rankings!$D$2:$D$987, Rankings!$D386, Rankings!$F$2:$F$987, "&lt;"&amp;Rankings!$F386) + COUNTIFS(Rankings!$D$2:$D$987, Rankings!$D386, Rankings!$F$2:$F$987, Rankings!$F386, Rankings!$H$2:$H$987, "&lt;"&amp;Rankings!$H386)+1, "TBD")</f>
        <v>5</v>
      </c>
      <c r="T386" s="434">
        <v>1.0</v>
      </c>
      <c r="U386" s="435" t="b">
        <f>Rankings!$S386=Rankings!$T386</f>
        <v>0</v>
      </c>
      <c r="V386" s="260"/>
      <c r="W386" s="208"/>
      <c r="Y386" s="443"/>
      <c r="Z386" s="234"/>
    </row>
    <row r="387" ht="15.0" customHeight="1">
      <c r="A387" s="103">
        <v>46038.0</v>
      </c>
      <c r="B387" s="420"/>
      <c r="C387" s="104" t="str">
        <f t="array" ref="C387">INDEX(Rankings!$E387:$E392, MATCH(1, (Rankings!$D387:$D392=$A387)*(Rankings!$U387:$U392=TRUE()), 0))</f>
        <v>Parker</v>
      </c>
      <c r="D387" s="398">
        <f>A387</f>
        <v>46038</v>
      </c>
      <c r="E387" s="399" t="str">
        <f>$K$1</f>
        <v>Logan</v>
      </c>
      <c r="F387" s="400">
        <f>IFERROR(AVERAGE(Rankings!$K387:$R387), "TBD")</f>
        <v>4.166666667</v>
      </c>
      <c r="G387" s="400">
        <f>IFERROR(_xlfn.STDEV.P(Rankings!$K387:$R387), "TBD")</f>
        <v>1.950783318</v>
      </c>
      <c r="H387" s="400">
        <f>IFERROR(AVERAGE(Rankings!$L387:$R387), "TBD")</f>
        <v>4.4</v>
      </c>
      <c r="I387" s="421" t="s">
        <v>1115</v>
      </c>
      <c r="J387" s="421" t="s">
        <v>1116</v>
      </c>
      <c r="K387" s="422">
        <v>3.0</v>
      </c>
      <c r="L387" s="423">
        <v>3.0</v>
      </c>
      <c r="M387" s="423">
        <v>6.0</v>
      </c>
      <c r="N387" s="423">
        <v>1.0</v>
      </c>
      <c r="O387" s="423">
        <v>6.0</v>
      </c>
      <c r="P387" s="423">
        <v>6.0</v>
      </c>
      <c r="Q387" s="424"/>
      <c r="R387" s="425"/>
      <c r="S387" s="401">
        <f>IF(SUM(Rankings!$K387:$R387)&gt;0, COUNTIFS(Rankings!$D$2:$D$987, Rankings!$D387, Rankings!$F$2:$F$987, "&lt;"&amp;Rankings!$F387) + COUNTIFS(Rankings!$D$2:$D$987, Rankings!$D387, Rankings!$F$2:$F$987, Rankings!$F387, Rankings!$H$2:$H$987, "&lt;"&amp;Rankings!$H387)+1, "TBD")</f>
        <v>5</v>
      </c>
      <c r="T387" s="426">
        <v>1.0</v>
      </c>
      <c r="U387" s="427" t="b">
        <f>Rankings!$S387=Rankings!$T387</f>
        <v>0</v>
      </c>
      <c r="V387" s="428"/>
      <c r="W387" s="428"/>
    </row>
    <row r="388" ht="15.0" customHeight="1">
      <c r="A388" s="134"/>
      <c r="B388" s="134"/>
      <c r="C388" s="134"/>
      <c r="D388" s="402">
        <f>D387</f>
        <v>46038</v>
      </c>
      <c r="E388" s="403" t="str">
        <f>$L$1</f>
        <v>Parker</v>
      </c>
      <c r="F388" s="404">
        <f>IFERROR(AVERAGE(Rankings!$K388:$R388), "TBD")</f>
        <v>2.666666667</v>
      </c>
      <c r="G388" s="404">
        <f>IFERROR(_xlfn.STDEV.P(Rankings!$K388:$R388), "TBD")</f>
        <v>1.795054936</v>
      </c>
      <c r="H388" s="404">
        <f>IFERROR(AVERAGE(Rankings!$K388, Rankings!$M388:$R388), "TBD")</f>
        <v>3</v>
      </c>
      <c r="I388" s="429" t="s">
        <v>407</v>
      </c>
      <c r="J388" s="429" t="s">
        <v>1117</v>
      </c>
      <c r="K388" s="430">
        <v>6.0</v>
      </c>
      <c r="L388" s="431">
        <v>1.0</v>
      </c>
      <c r="M388" s="431">
        <v>2.0</v>
      </c>
      <c r="N388" s="431">
        <v>4.0</v>
      </c>
      <c r="O388" s="431">
        <v>1.0</v>
      </c>
      <c r="P388" s="431">
        <v>2.0</v>
      </c>
      <c r="Q388" s="432"/>
      <c r="R388" s="433"/>
      <c r="S388" s="405">
        <f>IF(SUM(Rankings!$K388:$R388)&gt;0, COUNTIFS(Rankings!$D$2:$D$987, Rankings!$D388, Rankings!$F$2:$F$987, "&lt;"&amp;Rankings!$F388) + COUNTIFS(Rankings!$D$2:$D$987, Rankings!$D388, Rankings!$F$2:$F$987, Rankings!$F388, Rankings!$H$2:$H$987, "&lt;"&amp;Rankings!$H388)+1, "TBD")</f>
        <v>1</v>
      </c>
      <c r="T388" s="434">
        <v>1.0</v>
      </c>
      <c r="U388" s="435" t="b">
        <f>Rankings!$S388=Rankings!$T388</f>
        <v>1</v>
      </c>
      <c r="V388" s="436"/>
      <c r="W388" s="153"/>
    </row>
    <row r="389" ht="15.0" customHeight="1">
      <c r="A389" s="134"/>
      <c r="B389" s="134"/>
      <c r="C389" s="134"/>
      <c r="D389" s="406">
        <f>D387</f>
        <v>46038</v>
      </c>
      <c r="E389" s="407" t="str">
        <f>$M$1</f>
        <v>Giacomo</v>
      </c>
      <c r="F389" s="408">
        <f>IFERROR(AVERAGE(Rankings!$K389:$R389), "TBD")</f>
        <v>4.333333333</v>
      </c>
      <c r="G389" s="408">
        <f>IFERROR(_xlfn.STDEV.P(Rankings!$K389:$R389), "TBD")</f>
        <v>1.490711985</v>
      </c>
      <c r="H389" s="408">
        <f>IFERROR(AVERAGE(Rankings!$K389:$L389, Rankings!$N389:$R389), "TBD")</f>
        <v>5</v>
      </c>
      <c r="I389" s="437" t="s">
        <v>1118</v>
      </c>
      <c r="J389" s="437" t="s">
        <v>1119</v>
      </c>
      <c r="K389" s="430">
        <v>5.0</v>
      </c>
      <c r="L389" s="431">
        <v>5.0</v>
      </c>
      <c r="M389" s="431">
        <v>1.0</v>
      </c>
      <c r="N389" s="431">
        <v>5.0</v>
      </c>
      <c r="O389" s="431">
        <v>5.0</v>
      </c>
      <c r="P389" s="431">
        <v>5.0</v>
      </c>
      <c r="Q389" s="432"/>
      <c r="R389" s="433"/>
      <c r="S389" s="405">
        <f>IF(SUM(Rankings!$K389:$R389)&gt;0, COUNTIFS(Rankings!$D$2:$D$987, Rankings!$D389, Rankings!$F$2:$F$987, "&lt;"&amp;Rankings!$F389) + COUNTIFS(Rankings!$D$2:$D$987, Rankings!$D389, Rankings!$F$2:$F$987, Rankings!$F389, Rankings!$H$2:$H$987, "&lt;"&amp;Rankings!$H389)+1, "TBD")</f>
        <v>6</v>
      </c>
      <c r="T389" s="434">
        <v>1.0</v>
      </c>
      <c r="U389" s="435" t="b">
        <f>Rankings!$S389=Rankings!$T389</f>
        <v>0</v>
      </c>
      <c r="V389" s="436"/>
      <c r="W389" s="153"/>
    </row>
    <row r="390" ht="15.0" customHeight="1">
      <c r="A390" s="134"/>
      <c r="B390" s="134"/>
      <c r="C390" s="134"/>
      <c r="D390" s="409">
        <f>D387</f>
        <v>46038</v>
      </c>
      <c r="E390" s="410" t="str">
        <f>$N$1</f>
        <v>Rosey</v>
      </c>
      <c r="F390" s="411">
        <f>IFERROR(AVERAGE(Rankings!$K390:$R390), "TBD")</f>
        <v>3.5</v>
      </c>
      <c r="G390" s="411">
        <f>IFERROR(_xlfn.STDEV.P(Rankings!$K390:$R390), "TBD")</f>
        <v>0.9574271078</v>
      </c>
      <c r="H390" s="411">
        <f>IFERROR(AVERAGE(Rankings!$K390:$M390, Rankings!$O390:$R390), "TBD")</f>
        <v>3.6</v>
      </c>
      <c r="I390" s="438" t="s">
        <v>1120</v>
      </c>
      <c r="J390" s="438" t="s">
        <v>1121</v>
      </c>
      <c r="K390" s="430">
        <v>4.0</v>
      </c>
      <c r="L390" s="431">
        <v>2.0</v>
      </c>
      <c r="M390" s="431">
        <v>5.0</v>
      </c>
      <c r="N390" s="431">
        <v>3.0</v>
      </c>
      <c r="O390" s="431">
        <v>3.0</v>
      </c>
      <c r="P390" s="431">
        <v>4.0</v>
      </c>
      <c r="Q390" s="432"/>
      <c r="R390" s="433"/>
      <c r="S390" s="405">
        <f>IF(SUM(Rankings!$K390:$R390)&gt;0, COUNTIFS(Rankings!$D$2:$D$987, Rankings!$D390, Rankings!$F$2:$F$987, "&lt;"&amp;Rankings!$F390) + COUNTIFS(Rankings!$D$2:$D$987, Rankings!$D390, Rankings!$F$2:$F$987, Rankings!$F390, Rankings!$H$2:$H$987, "&lt;"&amp;Rankings!$H390)+1, "TBD")</f>
        <v>3</v>
      </c>
      <c r="T390" s="434">
        <v>1.0</v>
      </c>
      <c r="U390" s="435" t="b">
        <f>Rankings!$S390=Rankings!$T390</f>
        <v>0</v>
      </c>
      <c r="V390" s="436"/>
      <c r="W390" s="153"/>
    </row>
    <row r="391" ht="15.0" customHeight="1">
      <c r="A391" s="134"/>
      <c r="B391" s="134"/>
      <c r="C391" s="134"/>
      <c r="D391" s="412">
        <f t="shared" ref="D391:D392" si="57">D387</f>
        <v>46038</v>
      </c>
      <c r="E391" s="413" t="str">
        <f>$O$1</f>
        <v>TTAC</v>
      </c>
      <c r="F391" s="414">
        <f>IFERROR(AVERAGE(Rankings!$K391:$R391), "TBD")</f>
        <v>3.5</v>
      </c>
      <c r="G391" s="414">
        <f>IFERROR(_xlfn.STDEV.P(Rankings!$K391:$R391), "TBD")</f>
        <v>1.38443731</v>
      </c>
      <c r="H391" s="414">
        <f>IFERROR(AVERAGE(Rankings!$K391:$N391, Rankings!$P391:$R391), "TBD")</f>
        <v>3.8</v>
      </c>
      <c r="I391" s="439" t="s">
        <v>1122</v>
      </c>
      <c r="J391" s="439" t="s">
        <v>1123</v>
      </c>
      <c r="K391" s="430">
        <v>2.0</v>
      </c>
      <c r="L391" s="431">
        <v>4.0</v>
      </c>
      <c r="M391" s="431">
        <v>4.0</v>
      </c>
      <c r="N391" s="431">
        <v>6.0</v>
      </c>
      <c r="O391" s="431">
        <v>2.0</v>
      </c>
      <c r="P391" s="431">
        <v>3.0</v>
      </c>
      <c r="Q391" s="432"/>
      <c r="R391" s="433"/>
      <c r="S391" s="405">
        <f>IF(SUM(Rankings!$K391:$R391)&gt;0, COUNTIFS(Rankings!$D$2:$D$987, Rankings!$D391, Rankings!$F$2:$F$987, "&lt;"&amp;Rankings!$F391) + COUNTIFS(Rankings!$D$2:$D$987, Rankings!$D391, Rankings!$F$2:$F$987, Rankings!$F391, Rankings!$H$2:$H$987, "&lt;"&amp;Rankings!$H391)+1, "TBD")</f>
        <v>4</v>
      </c>
      <c r="T391" s="434">
        <v>1.0</v>
      </c>
      <c r="U391" s="435" t="b">
        <f>Rankings!$S391=Rankings!$T391</f>
        <v>0</v>
      </c>
      <c r="V391" s="436"/>
      <c r="W391" s="153"/>
    </row>
    <row r="392" ht="15.0" customHeight="1">
      <c r="A392" s="189"/>
      <c r="B392" s="189"/>
      <c r="C392" s="189"/>
      <c r="D392" s="415">
        <f t="shared" si="57"/>
        <v>46038</v>
      </c>
      <c r="E392" s="416" t="str">
        <f>$P$1</f>
        <v>Weston</v>
      </c>
      <c r="F392" s="417">
        <f>IFERROR(AVERAGE(Rankings!$K392:$R392), "TBD")</f>
        <v>2.833333333</v>
      </c>
      <c r="G392" s="418">
        <f>IFERROR(_xlfn.STDEV.P(Rankings!$K392:$R392), "TBD")</f>
        <v>1.771690969</v>
      </c>
      <c r="H392" s="418">
        <f>IFERROR(AVERAGE(Rankings!$K392:$O392, Rankings!$R392), "TBD")</f>
        <v>3.2</v>
      </c>
      <c r="I392" s="440" t="s">
        <v>1124</v>
      </c>
      <c r="J392" s="440" t="s">
        <v>1125</v>
      </c>
      <c r="K392" s="430">
        <v>1.0</v>
      </c>
      <c r="L392" s="431">
        <v>6.0</v>
      </c>
      <c r="M392" s="431">
        <v>3.0</v>
      </c>
      <c r="N392" s="431">
        <v>2.0</v>
      </c>
      <c r="O392" s="431">
        <v>4.0</v>
      </c>
      <c r="P392" s="431">
        <v>1.0</v>
      </c>
      <c r="Q392" s="432"/>
      <c r="R392" s="433"/>
      <c r="S392" s="405">
        <f>IF(SUM(Rankings!$K392:$R392)&gt;0, COUNTIFS(Rankings!$D$2:$D$987, Rankings!$D392, Rankings!$F$2:$F$987, "&lt;"&amp;Rankings!$F392) + COUNTIFS(Rankings!$D$2:$D$987, Rankings!$D392, Rankings!$F$2:$F$987, Rankings!$F392, Rankings!$H$2:$H$987, "&lt;"&amp;Rankings!$H392)+1, "TBD")</f>
        <v>2</v>
      </c>
      <c r="T392" s="434">
        <v>1.0</v>
      </c>
      <c r="U392" s="435" t="b">
        <f>Rankings!$S392=Rankings!$T392</f>
        <v>0</v>
      </c>
      <c r="V392" s="436"/>
      <c r="W392" s="208"/>
    </row>
    <row r="393" ht="15.0" customHeight="1">
      <c r="A393" s="103">
        <v>46041.0</v>
      </c>
      <c r="B393" s="420"/>
      <c r="C393" s="104" t="str">
        <f t="array" ref="C393">INDEX(Rankings!$E393:$E398, MATCH(1, (Rankings!$D393:$D398=$A393)*(Rankings!$U393:$U398=TRUE()), 0))</f>
        <v>Rosey</v>
      </c>
      <c r="D393" s="398">
        <f>A393</f>
        <v>46041</v>
      </c>
      <c r="E393" s="399" t="str">
        <f>$K$1</f>
        <v>Logan</v>
      </c>
      <c r="F393" s="400">
        <f>IFERROR(AVERAGE(Rankings!$K393:$R393), "TBD")</f>
        <v>3.666666667</v>
      </c>
      <c r="G393" s="400">
        <f>IFERROR(_xlfn.STDEV.P(Rankings!$K393:$R393), "TBD")</f>
        <v>1.374368542</v>
      </c>
      <c r="H393" s="400">
        <f>IFERROR(AVERAGE(Rankings!$L393:$R393), "TBD")</f>
        <v>4</v>
      </c>
      <c r="I393" s="421" t="s">
        <v>1126</v>
      </c>
      <c r="J393" s="421" t="s">
        <v>1127</v>
      </c>
      <c r="K393" s="422">
        <v>2.0</v>
      </c>
      <c r="L393" s="423">
        <v>5.0</v>
      </c>
      <c r="M393" s="423">
        <v>5.0</v>
      </c>
      <c r="N393" s="423">
        <v>2.0</v>
      </c>
      <c r="O393" s="423">
        <v>5.0</v>
      </c>
      <c r="P393" s="423">
        <v>3.0</v>
      </c>
      <c r="Q393" s="424"/>
      <c r="R393" s="425"/>
      <c r="S393" s="401">
        <f>IF(SUM(Rankings!$K393:$R393)&gt;0, COUNTIFS(Rankings!$D$2:$D$987, Rankings!$D393, Rankings!$F$2:$F$987, "&lt;"&amp;Rankings!$F393) + COUNTIFS(Rankings!$D$2:$D$987, Rankings!$D393, Rankings!$F$2:$F$987, Rankings!$F393, Rankings!$H$2:$H$987, "&lt;"&amp;Rankings!$H393)+1, "TBD")</f>
        <v>5</v>
      </c>
      <c r="T393" s="426">
        <v>1.0</v>
      </c>
      <c r="U393" s="427" t="b">
        <f>Rankings!$S393=Rankings!$T393</f>
        <v>0</v>
      </c>
      <c r="V393" s="428"/>
      <c r="W393" s="428"/>
    </row>
    <row r="394" ht="15.0" customHeight="1">
      <c r="A394" s="134"/>
      <c r="B394" s="134"/>
      <c r="C394" s="134"/>
      <c r="D394" s="402">
        <f>D393</f>
        <v>46041</v>
      </c>
      <c r="E394" s="403" t="str">
        <f>$L$1</f>
        <v>Parker</v>
      </c>
      <c r="F394" s="404">
        <f>IFERROR(AVERAGE(Rankings!$K394:$R394), "TBD")</f>
        <v>3.5</v>
      </c>
      <c r="G394" s="404">
        <f>IFERROR(_xlfn.STDEV.P(Rankings!$K394:$R394), "TBD")</f>
        <v>1.118033989</v>
      </c>
      <c r="H394" s="404">
        <f>IFERROR(AVERAGE(Rankings!$K394, Rankings!$M394:$R394), "TBD")</f>
        <v>3.4</v>
      </c>
      <c r="I394" s="429" t="s">
        <v>1128</v>
      </c>
      <c r="J394" s="429" t="s">
        <v>1129</v>
      </c>
      <c r="K394" s="430">
        <v>5.0</v>
      </c>
      <c r="L394" s="431">
        <v>4.0</v>
      </c>
      <c r="M394" s="431">
        <v>2.0</v>
      </c>
      <c r="N394" s="431">
        <v>4.0</v>
      </c>
      <c r="O394" s="431">
        <v>2.0</v>
      </c>
      <c r="P394" s="431">
        <v>4.0</v>
      </c>
      <c r="Q394" s="432"/>
      <c r="R394" s="433"/>
      <c r="S394" s="405">
        <f>IF(SUM(Rankings!$K394:$R394)&gt;0, COUNTIFS(Rankings!$D$2:$D$987, Rankings!$D394, Rankings!$F$2:$F$987, "&lt;"&amp;Rankings!$F394) + COUNTIFS(Rankings!$D$2:$D$987, Rankings!$D394, Rankings!$F$2:$F$987, Rankings!$F394, Rankings!$H$2:$H$987, "&lt;"&amp;Rankings!$H394)+1, "TBD")</f>
        <v>2</v>
      </c>
      <c r="T394" s="434">
        <v>1.0</v>
      </c>
      <c r="U394" s="435" t="b">
        <f>Rankings!$S394=Rankings!$T394</f>
        <v>0</v>
      </c>
      <c r="V394" s="436"/>
      <c r="W394" s="153"/>
    </row>
    <row r="395" ht="15.0" customHeight="1">
      <c r="A395" s="134"/>
      <c r="B395" s="134"/>
      <c r="C395" s="134"/>
      <c r="D395" s="406">
        <f>D393</f>
        <v>46041</v>
      </c>
      <c r="E395" s="407" t="str">
        <f>$M$1</f>
        <v>Giacomo</v>
      </c>
      <c r="F395" s="408">
        <f>IFERROR(AVERAGE(Rankings!$K395:$R395), "TBD")</f>
        <v>3.5</v>
      </c>
      <c r="G395" s="408">
        <f>IFERROR(_xlfn.STDEV.P(Rankings!$K395:$R395), "TBD")</f>
        <v>1.707825128</v>
      </c>
      <c r="H395" s="408">
        <f>IFERROR(AVERAGE(Rankings!$K395:$L395, Rankings!$N395:$R395), "TBD")</f>
        <v>3.6</v>
      </c>
      <c r="I395" s="437" t="s">
        <v>1130</v>
      </c>
      <c r="J395" s="437" t="s">
        <v>1131</v>
      </c>
      <c r="K395" s="430">
        <v>1.0</v>
      </c>
      <c r="L395" s="431">
        <v>2.0</v>
      </c>
      <c r="M395" s="431">
        <v>3.0</v>
      </c>
      <c r="N395" s="431">
        <v>5.0</v>
      </c>
      <c r="O395" s="431">
        <v>4.0</v>
      </c>
      <c r="P395" s="431">
        <v>6.0</v>
      </c>
      <c r="Q395" s="432"/>
      <c r="R395" s="433"/>
      <c r="S395" s="405">
        <f>IF(SUM(Rankings!$K395:$R395)&gt;0, COUNTIFS(Rankings!$D$2:$D$987, Rankings!$D395, Rankings!$F$2:$F$987, "&lt;"&amp;Rankings!$F395) + COUNTIFS(Rankings!$D$2:$D$987, Rankings!$D395, Rankings!$F$2:$F$987, Rankings!$F395, Rankings!$H$2:$H$987, "&lt;"&amp;Rankings!$H395)+1, "TBD")</f>
        <v>3</v>
      </c>
      <c r="T395" s="434">
        <v>1.0</v>
      </c>
      <c r="U395" s="435" t="b">
        <f>Rankings!$S395=Rankings!$T395</f>
        <v>0</v>
      </c>
      <c r="V395" s="436"/>
      <c r="W395" s="153"/>
    </row>
    <row r="396" ht="15.0" customHeight="1">
      <c r="A396" s="134"/>
      <c r="B396" s="134"/>
      <c r="C396" s="134"/>
      <c r="D396" s="409">
        <f>D393</f>
        <v>46041</v>
      </c>
      <c r="E396" s="410" t="str">
        <f>$N$1</f>
        <v>Rosey</v>
      </c>
      <c r="F396" s="411">
        <f>IFERROR(AVERAGE(Rankings!$K396:$R396), "TBD")</f>
        <v>1.333333333</v>
      </c>
      <c r="G396" s="411">
        <f>IFERROR(_xlfn.STDEV.P(Rankings!$K396:$R396), "TBD")</f>
        <v>0.7453559925</v>
      </c>
      <c r="H396" s="411">
        <f>IFERROR(AVERAGE(Rankings!$K396:$M396, Rankings!$O396:$R396), "TBD")</f>
        <v>1.4</v>
      </c>
      <c r="I396" s="438" t="s">
        <v>399</v>
      </c>
      <c r="J396" s="438" t="s">
        <v>1132</v>
      </c>
      <c r="K396" s="430">
        <v>3.0</v>
      </c>
      <c r="L396" s="431">
        <v>1.0</v>
      </c>
      <c r="M396" s="431">
        <v>1.0</v>
      </c>
      <c r="N396" s="431">
        <v>1.0</v>
      </c>
      <c r="O396" s="431">
        <v>1.0</v>
      </c>
      <c r="P396" s="431">
        <v>1.0</v>
      </c>
      <c r="Q396" s="432"/>
      <c r="R396" s="433"/>
      <c r="S396" s="405">
        <f>IF(SUM(Rankings!$K396:$R396)&gt;0, COUNTIFS(Rankings!$D$2:$D$987, Rankings!$D396, Rankings!$F$2:$F$987, "&lt;"&amp;Rankings!$F396) + COUNTIFS(Rankings!$D$2:$D$987, Rankings!$D396, Rankings!$F$2:$F$987, Rankings!$F396, Rankings!$H$2:$H$987, "&lt;"&amp;Rankings!$H396)+1, "TBD")</f>
        <v>1</v>
      </c>
      <c r="T396" s="434">
        <v>1.0</v>
      </c>
      <c r="U396" s="435" t="b">
        <f>Rankings!$S396=Rankings!$T396</f>
        <v>1</v>
      </c>
      <c r="V396" s="436"/>
      <c r="W396" s="153"/>
    </row>
    <row r="397" ht="15.0" customHeight="1">
      <c r="A397" s="134"/>
      <c r="B397" s="134"/>
      <c r="C397" s="134"/>
      <c r="D397" s="412">
        <f t="shared" ref="D397:D398" si="58">D393</f>
        <v>46041</v>
      </c>
      <c r="E397" s="413" t="str">
        <f>$O$1</f>
        <v>TTAC</v>
      </c>
      <c r="F397" s="414">
        <f>IFERROR(AVERAGE(Rankings!$K397:$R397), "TBD")</f>
        <v>3.5</v>
      </c>
      <c r="G397" s="414">
        <f>IFERROR(_xlfn.STDEV.P(Rankings!$K397:$R397), "TBD")</f>
        <v>1.258305739</v>
      </c>
      <c r="H397" s="414">
        <f>IFERROR(AVERAGE(Rankings!$K397:$N397, Rankings!$P397:$R397), "TBD")</f>
        <v>3.6</v>
      </c>
      <c r="I397" s="439" t="s">
        <v>1133</v>
      </c>
      <c r="J397" s="439" t="s">
        <v>1134</v>
      </c>
      <c r="K397" s="430">
        <v>6.0</v>
      </c>
      <c r="L397" s="431">
        <v>3.0</v>
      </c>
      <c r="M397" s="431">
        <v>4.0</v>
      </c>
      <c r="N397" s="431">
        <v>3.0</v>
      </c>
      <c r="O397" s="431">
        <v>3.0</v>
      </c>
      <c r="P397" s="431">
        <v>2.0</v>
      </c>
      <c r="Q397" s="432"/>
      <c r="R397" s="433"/>
      <c r="S397" s="405">
        <f>IF(SUM(Rankings!$K397:$R397)&gt;0, COUNTIFS(Rankings!$D$2:$D$987, Rankings!$D397, Rankings!$F$2:$F$987, "&lt;"&amp;Rankings!$F397) + COUNTIFS(Rankings!$D$2:$D$987, Rankings!$D397, Rankings!$F$2:$F$987, Rankings!$F397, Rankings!$H$2:$H$987, "&lt;"&amp;Rankings!$H397)+1, "TBD")</f>
        <v>3</v>
      </c>
      <c r="T397" s="434">
        <v>1.0</v>
      </c>
      <c r="U397" s="435" t="b">
        <f>Rankings!$S397=Rankings!$T397</f>
        <v>0</v>
      </c>
      <c r="V397" s="436"/>
      <c r="W397" s="153"/>
    </row>
    <row r="398" ht="15.0" customHeight="1">
      <c r="A398" s="189"/>
      <c r="B398" s="189"/>
      <c r="C398" s="189"/>
      <c r="D398" s="415">
        <f t="shared" si="58"/>
        <v>46041</v>
      </c>
      <c r="E398" s="416" t="str">
        <f>$P$1</f>
        <v>Weston</v>
      </c>
      <c r="F398" s="417">
        <f>IFERROR(AVERAGE(Rankings!$K398:$R398), "TBD")</f>
        <v>5.5</v>
      </c>
      <c r="G398" s="418">
        <f>IFERROR(_xlfn.STDEV.P(Rankings!$K398:$R398), "TBD")</f>
        <v>0.7637626158</v>
      </c>
      <c r="H398" s="418">
        <f>IFERROR(AVERAGE(Rankings!$K398:$O398, Rankings!$R398), "TBD")</f>
        <v>5.6</v>
      </c>
      <c r="I398" s="440" t="s">
        <v>1135</v>
      </c>
      <c r="J398" s="440" t="s">
        <v>1136</v>
      </c>
      <c r="K398" s="430">
        <v>4.0</v>
      </c>
      <c r="L398" s="431">
        <v>6.0</v>
      </c>
      <c r="M398" s="431">
        <v>6.0</v>
      </c>
      <c r="N398" s="431">
        <v>6.0</v>
      </c>
      <c r="O398" s="431">
        <v>6.0</v>
      </c>
      <c r="P398" s="431">
        <v>5.0</v>
      </c>
      <c r="Q398" s="432"/>
      <c r="R398" s="433"/>
      <c r="S398" s="405">
        <f>IF(SUM(Rankings!$K398:$R398)&gt;0, COUNTIFS(Rankings!$D$2:$D$987, Rankings!$D398, Rankings!$F$2:$F$987, "&lt;"&amp;Rankings!$F398) + COUNTIFS(Rankings!$D$2:$D$987, Rankings!$D398, Rankings!$F$2:$F$987, Rankings!$F398, Rankings!$H$2:$H$987, "&lt;"&amp;Rankings!$H398)+1, "TBD")</f>
        <v>6</v>
      </c>
      <c r="T398" s="434">
        <v>1.0</v>
      </c>
      <c r="U398" s="435" t="b">
        <f>Rankings!$S398=Rankings!$T398</f>
        <v>0</v>
      </c>
      <c r="V398" s="436"/>
      <c r="W398" s="208"/>
    </row>
    <row r="399" ht="15.0" customHeight="1">
      <c r="A399" s="103">
        <v>46043.0</v>
      </c>
      <c r="B399" s="420"/>
      <c r="C399" s="104" t="str">
        <f t="array" ref="C399">INDEX(Rankings!$E399:$E404, MATCH(1, (Rankings!$D399:$D404=$A399)*(Rankings!$U399:$U404=TRUE()), 0))</f>
        <v>Weston</v>
      </c>
      <c r="D399" s="398">
        <f>A399</f>
        <v>46043</v>
      </c>
      <c r="E399" s="399" t="str">
        <f>$K$1</f>
        <v>Logan</v>
      </c>
      <c r="F399" s="400">
        <f>IFERROR(AVERAGE(Rankings!$K399:$R399), "TBD")</f>
        <v>4.166666667</v>
      </c>
      <c r="G399" s="400">
        <f>IFERROR(_xlfn.STDEV.P(Rankings!$K399:$R399), "TBD")</f>
        <v>1.572330189</v>
      </c>
      <c r="H399" s="400">
        <f>IFERROR(AVERAGE(Rankings!$L399:$R399), "TBD")</f>
        <v>4</v>
      </c>
      <c r="I399" s="421" t="s">
        <v>1137</v>
      </c>
      <c r="J399" s="421" t="s">
        <v>1138</v>
      </c>
      <c r="K399" s="422">
        <v>5.0</v>
      </c>
      <c r="L399" s="423">
        <v>5.0</v>
      </c>
      <c r="M399" s="423">
        <v>6.0</v>
      </c>
      <c r="N399" s="423">
        <v>2.0</v>
      </c>
      <c r="O399" s="423">
        <v>2.0</v>
      </c>
      <c r="P399" s="423">
        <v>5.0</v>
      </c>
      <c r="Q399" s="424"/>
      <c r="R399" s="425"/>
      <c r="S399" s="401">
        <f>IF(SUM(Rankings!$K399:$R399)&gt;0, COUNTIFS(Rankings!$D$2:$D$987, Rankings!$D399, Rankings!$F$2:$F$987, "&lt;"&amp;Rankings!$F399) + COUNTIFS(Rankings!$D$2:$D$987, Rankings!$D399, Rankings!$F$2:$F$987, Rankings!$F399, Rankings!$H$2:$H$987, "&lt;"&amp;Rankings!$H399)+1, "TBD")</f>
        <v>5</v>
      </c>
      <c r="T399" s="426">
        <v>1.0</v>
      </c>
      <c r="U399" s="427" t="b">
        <f>Rankings!$S399=Rankings!$T399</f>
        <v>0</v>
      </c>
      <c r="V399" s="259"/>
      <c r="W399" s="259"/>
    </row>
    <row r="400" ht="15.0" customHeight="1">
      <c r="A400" s="134"/>
      <c r="B400" s="134"/>
      <c r="C400" s="134"/>
      <c r="D400" s="402">
        <f>D399</f>
        <v>46043</v>
      </c>
      <c r="E400" s="403" t="str">
        <f>$L$1</f>
        <v>Parker</v>
      </c>
      <c r="F400" s="404">
        <f>IFERROR(AVERAGE(Rankings!$K400:$R400), "TBD")</f>
        <v>4.333333333</v>
      </c>
      <c r="G400" s="404">
        <f>IFERROR(_xlfn.STDEV.P(Rankings!$K400:$R400), "TBD")</f>
        <v>0.7453559925</v>
      </c>
      <c r="H400" s="404">
        <f>IFERROR(AVERAGE(Rankings!$K400, Rankings!$M400:$R400), "TBD")</f>
        <v>4.6</v>
      </c>
      <c r="I400" s="429" t="s">
        <v>1139</v>
      </c>
      <c r="J400" s="429" t="s">
        <v>1140</v>
      </c>
      <c r="K400" s="430">
        <v>4.0</v>
      </c>
      <c r="L400" s="431">
        <v>3.0</v>
      </c>
      <c r="M400" s="431">
        <v>5.0</v>
      </c>
      <c r="N400" s="431">
        <v>5.0</v>
      </c>
      <c r="O400" s="431">
        <v>5.0</v>
      </c>
      <c r="P400" s="431">
        <v>4.0</v>
      </c>
      <c r="Q400" s="432"/>
      <c r="R400" s="433"/>
      <c r="S400" s="405">
        <f>IF(SUM(Rankings!$K400:$R400)&gt;0, COUNTIFS(Rankings!$D$2:$D$987, Rankings!$D400, Rankings!$F$2:$F$987, "&lt;"&amp;Rankings!$F400) + COUNTIFS(Rankings!$D$2:$D$987, Rankings!$D400, Rankings!$F$2:$F$987, Rankings!$F400, Rankings!$H$2:$H$987, "&lt;"&amp;Rankings!$H400)+1, "TBD")</f>
        <v>6</v>
      </c>
      <c r="T400" s="434">
        <v>1.0</v>
      </c>
      <c r="U400" s="435" t="b">
        <f>Rankings!$S400=Rankings!$T400</f>
        <v>0</v>
      </c>
      <c r="V400" s="260"/>
      <c r="W400" s="153"/>
    </row>
    <row r="401" ht="15.0" customHeight="1">
      <c r="A401" s="134"/>
      <c r="B401" s="134"/>
      <c r="C401" s="134"/>
      <c r="D401" s="406">
        <f>D399</f>
        <v>46043</v>
      </c>
      <c r="E401" s="407" t="str">
        <f>$M$1</f>
        <v>Giacomo</v>
      </c>
      <c r="F401" s="408">
        <f>IFERROR(AVERAGE(Rankings!$K401:$R401), "TBD")</f>
        <v>3.666666667</v>
      </c>
      <c r="G401" s="408">
        <f>IFERROR(_xlfn.STDEV.P(Rankings!$K401:$R401), "TBD")</f>
        <v>1.885618083</v>
      </c>
      <c r="H401" s="408">
        <f>IFERROR(AVERAGE(Rankings!$K401:$L401, Rankings!$N401:$R401), "TBD")</f>
        <v>4.2</v>
      </c>
      <c r="I401" s="437" t="s">
        <v>1141</v>
      </c>
      <c r="J401" s="437" t="s">
        <v>1142</v>
      </c>
      <c r="K401" s="430">
        <v>6.0</v>
      </c>
      <c r="L401" s="431">
        <v>2.0</v>
      </c>
      <c r="M401" s="431">
        <v>1.0</v>
      </c>
      <c r="N401" s="431">
        <v>3.0</v>
      </c>
      <c r="O401" s="431">
        <v>4.0</v>
      </c>
      <c r="P401" s="431">
        <v>6.0</v>
      </c>
      <c r="Q401" s="432"/>
      <c r="R401" s="433"/>
      <c r="S401" s="405">
        <f>IF(SUM(Rankings!$K401:$R401)&gt;0, COUNTIFS(Rankings!$D$2:$D$987, Rankings!$D401, Rankings!$F$2:$F$987, "&lt;"&amp;Rankings!$F401) + COUNTIFS(Rankings!$D$2:$D$987, Rankings!$D401, Rankings!$F$2:$F$987, Rankings!$F401, Rankings!$H$2:$H$987, "&lt;"&amp;Rankings!$H401)+1, "TBD")</f>
        <v>4</v>
      </c>
      <c r="T401" s="434">
        <v>1.0</v>
      </c>
      <c r="U401" s="435" t="b">
        <f>Rankings!$S401=Rankings!$T401</f>
        <v>0</v>
      </c>
      <c r="V401" s="260"/>
      <c r="W401" s="153"/>
    </row>
    <row r="402" ht="15.0" customHeight="1">
      <c r="A402" s="134"/>
      <c r="B402" s="134"/>
      <c r="C402" s="134"/>
      <c r="D402" s="409">
        <f>D399</f>
        <v>46043</v>
      </c>
      <c r="E402" s="410" t="str">
        <f>$N$1</f>
        <v>Rosey</v>
      </c>
      <c r="F402" s="411">
        <f>IFERROR(AVERAGE(Rankings!$K402:$R402), "TBD")</f>
        <v>3.166666667</v>
      </c>
      <c r="G402" s="411">
        <f>IFERROR(_xlfn.STDEV.P(Rankings!$K402:$R402), "TBD")</f>
        <v>1.572330189</v>
      </c>
      <c r="H402" s="411">
        <f>IFERROR(AVERAGE(Rankings!$K402:$M402, Rankings!$O402:$R402), "TBD")</f>
        <v>3.6</v>
      </c>
      <c r="I402" s="438" t="s">
        <v>1143</v>
      </c>
      <c r="J402" s="438" t="s">
        <v>1144</v>
      </c>
      <c r="K402" s="430">
        <v>2.0</v>
      </c>
      <c r="L402" s="431">
        <v>4.0</v>
      </c>
      <c r="M402" s="431">
        <v>3.0</v>
      </c>
      <c r="N402" s="431">
        <v>1.0</v>
      </c>
      <c r="O402" s="431">
        <v>6.0</v>
      </c>
      <c r="P402" s="431">
        <v>3.0</v>
      </c>
      <c r="Q402" s="432"/>
      <c r="R402" s="433"/>
      <c r="S402" s="405">
        <f>IF(SUM(Rankings!$K402:$R402)&gt;0, COUNTIFS(Rankings!$D$2:$D$987, Rankings!$D402, Rankings!$F$2:$F$987, "&lt;"&amp;Rankings!$F402) + COUNTIFS(Rankings!$D$2:$D$987, Rankings!$D402, Rankings!$F$2:$F$987, Rankings!$F402, Rankings!$H$2:$H$987, "&lt;"&amp;Rankings!$H402)+1, "TBD")</f>
        <v>2</v>
      </c>
      <c r="T402" s="434">
        <v>1.0</v>
      </c>
      <c r="U402" s="435" t="b">
        <f>Rankings!$S402=Rankings!$T402</f>
        <v>0</v>
      </c>
      <c r="V402" s="260"/>
      <c r="W402" s="153"/>
    </row>
    <row r="403" ht="15.0" customHeight="1">
      <c r="A403" s="134"/>
      <c r="B403" s="134"/>
      <c r="C403" s="134"/>
      <c r="D403" s="412">
        <f t="shared" ref="D403:D404" si="59">D399</f>
        <v>46043</v>
      </c>
      <c r="E403" s="413" t="str">
        <f>$O$1</f>
        <v>TTAC</v>
      </c>
      <c r="F403" s="414">
        <f>IFERROR(AVERAGE(Rankings!$K403:$R403), "TBD")</f>
        <v>3.333333333</v>
      </c>
      <c r="G403" s="414">
        <f>IFERROR(_xlfn.STDEV.P(Rankings!$K403:$R403), "TBD")</f>
        <v>1.598610508</v>
      </c>
      <c r="H403" s="414">
        <f>IFERROR(AVERAGE(Rankings!$K403:$N403, Rankings!$P403:$R403), "TBD")</f>
        <v>3.8</v>
      </c>
      <c r="I403" s="439" t="s">
        <v>1145</v>
      </c>
      <c r="J403" s="439" t="s">
        <v>1146</v>
      </c>
      <c r="K403" s="430">
        <v>3.0</v>
      </c>
      <c r="L403" s="431">
        <v>6.0</v>
      </c>
      <c r="M403" s="431">
        <v>4.0</v>
      </c>
      <c r="N403" s="431">
        <v>4.0</v>
      </c>
      <c r="O403" s="431">
        <v>1.0</v>
      </c>
      <c r="P403" s="431">
        <v>2.0</v>
      </c>
      <c r="Q403" s="432"/>
      <c r="R403" s="433"/>
      <c r="S403" s="405">
        <f>IF(SUM(Rankings!$K403:$R403)&gt;0, COUNTIFS(Rankings!$D$2:$D$987, Rankings!$D403, Rankings!$F$2:$F$987, "&lt;"&amp;Rankings!$F403) + COUNTIFS(Rankings!$D$2:$D$987, Rankings!$D403, Rankings!$F$2:$F$987, Rankings!$F403, Rankings!$H$2:$H$987, "&lt;"&amp;Rankings!$H403)+1, "TBD")</f>
        <v>3</v>
      </c>
      <c r="T403" s="434">
        <v>1.0</v>
      </c>
      <c r="U403" s="435" t="b">
        <f>Rankings!$S403=Rankings!$T403</f>
        <v>0</v>
      </c>
      <c r="V403" s="260"/>
      <c r="W403" s="153"/>
    </row>
    <row r="404" ht="15.0" customHeight="1">
      <c r="A404" s="189"/>
      <c r="B404" s="189"/>
      <c r="C404" s="189"/>
      <c r="D404" s="415">
        <f t="shared" si="59"/>
        <v>46043</v>
      </c>
      <c r="E404" s="416" t="str">
        <f>$P$1</f>
        <v>Weston</v>
      </c>
      <c r="F404" s="417">
        <f>IFERROR(AVERAGE(Rankings!$K404:$R404), "TBD")</f>
        <v>2.333333333</v>
      </c>
      <c r="G404" s="418">
        <f>IFERROR(_xlfn.STDEV.P(Rankings!$K404:$R404), "TBD")</f>
        <v>1.795054936</v>
      </c>
      <c r="H404" s="418">
        <f>IFERROR(AVERAGE(Rankings!$K404:$O404, Rankings!$R404), "TBD")</f>
        <v>2.6</v>
      </c>
      <c r="I404" s="440" t="s">
        <v>410</v>
      </c>
      <c r="J404" s="440" t="s">
        <v>1147</v>
      </c>
      <c r="K404" s="430">
        <v>1.0</v>
      </c>
      <c r="L404" s="431">
        <v>1.0</v>
      </c>
      <c r="M404" s="431">
        <v>2.0</v>
      </c>
      <c r="N404" s="431">
        <v>6.0</v>
      </c>
      <c r="O404" s="431">
        <v>3.0</v>
      </c>
      <c r="P404" s="431">
        <v>1.0</v>
      </c>
      <c r="Q404" s="432"/>
      <c r="R404" s="433"/>
      <c r="S404" s="405">
        <f>IF(SUM(Rankings!$K404:$R404)&gt;0, COUNTIFS(Rankings!$D$2:$D$987, Rankings!$D404, Rankings!$F$2:$F$987, "&lt;"&amp;Rankings!$F404) + COUNTIFS(Rankings!$D$2:$D$987, Rankings!$D404, Rankings!$F$2:$F$987, Rankings!$F404, Rankings!$H$2:$H$987, "&lt;"&amp;Rankings!$H404)+1, "TBD")</f>
        <v>1</v>
      </c>
      <c r="T404" s="434">
        <v>1.0</v>
      </c>
      <c r="U404" s="435" t="b">
        <f>Rankings!$S404=Rankings!$T404</f>
        <v>1</v>
      </c>
      <c r="V404" s="260"/>
      <c r="W404" s="208"/>
    </row>
    <row r="405" ht="15.0" customHeight="1">
      <c r="A405" s="103">
        <v>46045.0</v>
      </c>
      <c r="B405" s="104"/>
      <c r="C405" s="104" t="str">
        <f t="array" ref="C405">INDEX(Rankings!$E405:$E410, MATCH(1, (Rankings!$D405:$D410=$A405)*(Rankings!$U405:$U410=TRUE()), 0))</f>
        <v>Rosey</v>
      </c>
      <c r="D405" s="111">
        <f>A405</f>
        <v>46045</v>
      </c>
      <c r="E405" s="113" t="str">
        <f>$K$1</f>
        <v>Logan</v>
      </c>
      <c r="F405" s="115">
        <f>IFERROR(AVERAGE(Rankings!$K405:$R405), "TBD")</f>
        <v>3.333333333</v>
      </c>
      <c r="G405" s="115">
        <f>IFERROR(_xlfn.STDEV.P(Rankings!$K405:$R405), "TBD")</f>
        <v>1.247219129</v>
      </c>
      <c r="H405" s="117">
        <f>IFERROR(AVERAGE(Rankings!$L405:$R405), "TBD")</f>
        <v>3.4</v>
      </c>
      <c r="I405" s="119" t="s">
        <v>1148</v>
      </c>
      <c r="J405" s="119" t="s">
        <v>1149</v>
      </c>
      <c r="K405" s="120">
        <v>3.0</v>
      </c>
      <c r="L405" s="121">
        <v>4.0</v>
      </c>
      <c r="M405" s="121">
        <v>4.0</v>
      </c>
      <c r="N405" s="121">
        <v>3.0</v>
      </c>
      <c r="O405" s="121">
        <v>1.0</v>
      </c>
      <c r="P405" s="121">
        <v>5.0</v>
      </c>
      <c r="Q405" s="122"/>
      <c r="R405" s="393"/>
      <c r="S405" s="401">
        <f>IF(SUM(Rankings!$K405:$R405)&gt;0, COUNTIFS(Rankings!$D$2:$D$987, Rankings!$D405, Rankings!$F$2:$F$987, "&lt;"&amp;Rankings!$F405) + COUNTIFS(Rankings!$D$2:$D$987, Rankings!$D405, Rankings!$F$2:$F$987, Rankings!$F405, Rankings!$H$2:$H$987, "&lt;"&amp;Rankings!$H405)+1, "TBD")</f>
        <v>3</v>
      </c>
      <c r="T405" s="217">
        <v>1.0</v>
      </c>
      <c r="U405" s="217" t="b">
        <f>Rankings!$S405=Rankings!$T405</f>
        <v>0</v>
      </c>
      <c r="V405" s="259"/>
      <c r="W405" s="259" t="s">
        <v>1150</v>
      </c>
    </row>
    <row r="406" ht="15.0" customHeight="1">
      <c r="A406" s="134"/>
      <c r="B406" s="134"/>
      <c r="C406" s="134"/>
      <c r="D406" s="219">
        <f>D405</f>
        <v>46045</v>
      </c>
      <c r="E406" s="138" t="str">
        <f>$L$1</f>
        <v>Parker</v>
      </c>
      <c r="F406" s="220">
        <f>IFERROR(AVERAGE(Rankings!$K406:$R406), "TBD")</f>
        <v>4.666666667</v>
      </c>
      <c r="G406" s="220">
        <f>IFERROR(_xlfn.STDEV.P(Rankings!$K406:$R406), "TBD")</f>
        <v>1.699673171</v>
      </c>
      <c r="H406" s="221">
        <f>IFERROR(AVERAGE(Rankings!$K406, Rankings!$M406:$R406), "TBD")</f>
        <v>4.6</v>
      </c>
      <c r="I406" s="222" t="s">
        <v>1151</v>
      </c>
      <c r="J406" s="222" t="s">
        <v>1152</v>
      </c>
      <c r="K406" s="143">
        <v>5.0</v>
      </c>
      <c r="L406" s="144">
        <v>5.0</v>
      </c>
      <c r="M406" s="144">
        <v>5.0</v>
      </c>
      <c r="N406" s="144">
        <v>1.0</v>
      </c>
      <c r="O406" s="144">
        <v>6.0</v>
      </c>
      <c r="P406" s="144">
        <v>6.0</v>
      </c>
      <c r="Q406" s="394"/>
      <c r="R406" s="395"/>
      <c r="S406" s="405">
        <f>IF(SUM(Rankings!$K406:$R406)&gt;0, COUNTIFS(Rankings!$D$2:$D$987, Rankings!$D406, Rankings!$F$2:$F$987, "&lt;"&amp;Rankings!$F406) + COUNTIFS(Rankings!$D$2:$D$987, Rankings!$D406, Rankings!$F$2:$F$987, Rankings!$F406, Rankings!$H$2:$H$987, "&lt;"&amp;Rankings!$H406)+1, "TBD")</f>
        <v>6</v>
      </c>
      <c r="T406" s="225">
        <v>1.0</v>
      </c>
      <c r="U406" s="225" t="b">
        <f>Rankings!$S406=Rankings!$T406</f>
        <v>0</v>
      </c>
      <c r="V406" s="260"/>
      <c r="W406" s="153"/>
    </row>
    <row r="407" ht="15.0" customHeight="1">
      <c r="A407" s="134"/>
      <c r="B407" s="134"/>
      <c r="C407" s="134"/>
      <c r="D407" s="219">
        <f>D405</f>
        <v>46045</v>
      </c>
      <c r="E407" s="227" t="str">
        <f>$M$1</f>
        <v>Giacomo</v>
      </c>
      <c r="F407" s="220">
        <f>IFERROR(AVERAGE(Rankings!$K407:$R407), "TBD")</f>
        <v>2.666666667</v>
      </c>
      <c r="G407" s="220">
        <f>IFERROR(_xlfn.STDEV.P(Rankings!$K407:$R407), "TBD")</f>
        <v>1.490711985</v>
      </c>
      <c r="H407" s="221">
        <f>IFERROR(AVERAGE(Rankings!$K407:$L407, Rankings!$N407:$R407), "TBD")</f>
        <v>3</v>
      </c>
      <c r="I407" s="222" t="s">
        <v>1153</v>
      </c>
      <c r="J407" s="222" t="s">
        <v>1154</v>
      </c>
      <c r="K407" s="143">
        <v>1.0</v>
      </c>
      <c r="L407" s="144">
        <v>2.0</v>
      </c>
      <c r="M407" s="144">
        <v>1.0</v>
      </c>
      <c r="N407" s="144">
        <v>5.0</v>
      </c>
      <c r="O407" s="144">
        <v>4.0</v>
      </c>
      <c r="P407" s="144">
        <v>3.0</v>
      </c>
      <c r="Q407" s="394"/>
      <c r="R407" s="395"/>
      <c r="S407" s="405">
        <f>IF(SUM(Rankings!$K407:$R407)&gt;0, COUNTIFS(Rankings!$D$2:$D$987, Rankings!$D407, Rankings!$F$2:$F$987, "&lt;"&amp;Rankings!$F407) + COUNTIFS(Rankings!$D$2:$D$987, Rankings!$D407, Rankings!$F$2:$F$987, Rankings!$F407, Rankings!$H$2:$H$987, "&lt;"&amp;Rankings!$H407)+1, "TBD")</f>
        <v>2</v>
      </c>
      <c r="T407" s="225">
        <v>1.0</v>
      </c>
      <c r="U407" s="225" t="b">
        <f>Rankings!$S407=Rankings!$T407</f>
        <v>0</v>
      </c>
      <c r="V407" s="260"/>
      <c r="W407" s="153"/>
    </row>
    <row r="408" ht="15.0" customHeight="1">
      <c r="A408" s="134"/>
      <c r="B408" s="134"/>
      <c r="C408" s="134"/>
      <c r="D408" s="219">
        <f>D405</f>
        <v>46045</v>
      </c>
      <c r="E408" s="227" t="str">
        <f>$N$1</f>
        <v>Rosey</v>
      </c>
      <c r="F408" s="220">
        <f>IFERROR(AVERAGE(Rankings!$K408:$R408), "TBD")</f>
        <v>2</v>
      </c>
      <c r="G408" s="220">
        <f>IFERROR(_xlfn.STDEV.P(Rankings!$K408:$R408), "TBD")</f>
        <v>0.5773502692</v>
      </c>
      <c r="H408" s="221">
        <f>IFERROR(AVERAGE(Rankings!$K408:$M408, Rankings!$O408:$R408), "TBD")</f>
        <v>2</v>
      </c>
      <c r="I408" s="222" t="s">
        <v>113</v>
      </c>
      <c r="J408" s="222" t="s">
        <v>1155</v>
      </c>
      <c r="K408" s="143">
        <v>2.0</v>
      </c>
      <c r="L408" s="144">
        <v>1.0</v>
      </c>
      <c r="M408" s="144">
        <v>3.0</v>
      </c>
      <c r="N408" s="144">
        <v>2.0</v>
      </c>
      <c r="O408" s="144">
        <v>2.0</v>
      </c>
      <c r="P408" s="144">
        <v>2.0</v>
      </c>
      <c r="Q408" s="394"/>
      <c r="R408" s="395"/>
      <c r="S408" s="405">
        <f>IF(SUM(Rankings!$K408:$R408)&gt;0, COUNTIFS(Rankings!$D$2:$D$987, Rankings!$D408, Rankings!$F$2:$F$987, "&lt;"&amp;Rankings!$F408) + COUNTIFS(Rankings!$D$2:$D$987, Rankings!$D408, Rankings!$F$2:$F$987, Rankings!$F408, Rankings!$H$2:$H$987, "&lt;"&amp;Rankings!$H408)+1, "TBD")</f>
        <v>1</v>
      </c>
      <c r="T408" s="225">
        <v>1.0</v>
      </c>
      <c r="U408" s="225" t="b">
        <f>Rankings!$S408=Rankings!$T408</f>
        <v>1</v>
      </c>
      <c r="V408" s="260"/>
      <c r="W408" s="153"/>
    </row>
    <row r="409" ht="15.0" customHeight="1">
      <c r="A409" s="134"/>
      <c r="B409" s="134"/>
      <c r="C409" s="134"/>
      <c r="D409" s="219">
        <f t="shared" ref="D409:D410" si="60">D405</f>
        <v>46045</v>
      </c>
      <c r="E409" s="227" t="str">
        <f>$O$1</f>
        <v>TTAC</v>
      </c>
      <c r="F409" s="220">
        <f>IFERROR(AVERAGE(Rankings!$K409:$R409), "TBD")</f>
        <v>4.166666667</v>
      </c>
      <c r="G409" s="220">
        <f>IFERROR(_xlfn.STDEV.P(Rankings!$K409:$R409), "TBD")</f>
        <v>1.462494065</v>
      </c>
      <c r="H409" s="221">
        <f>IFERROR(AVERAGE(Rankings!$K409:$N409, Rankings!$P409:$R409), "TBD")</f>
        <v>4.4</v>
      </c>
      <c r="I409" s="222" t="s">
        <v>1156</v>
      </c>
      <c r="J409" s="222" t="s">
        <v>1157</v>
      </c>
      <c r="K409" s="143">
        <v>6.0</v>
      </c>
      <c r="L409" s="144">
        <v>6.0</v>
      </c>
      <c r="M409" s="144">
        <v>2.0</v>
      </c>
      <c r="N409" s="144">
        <v>4.0</v>
      </c>
      <c r="O409" s="144">
        <v>3.0</v>
      </c>
      <c r="P409" s="144">
        <v>4.0</v>
      </c>
      <c r="Q409" s="394"/>
      <c r="R409" s="395"/>
      <c r="S409" s="405">
        <f>IF(SUM(Rankings!$K409:$R409)&gt;0, COUNTIFS(Rankings!$D$2:$D$987, Rankings!$D409, Rankings!$F$2:$F$987, "&lt;"&amp;Rankings!$F409) + COUNTIFS(Rankings!$D$2:$D$987, Rankings!$D409, Rankings!$F$2:$F$987, Rankings!$F409, Rankings!$H$2:$H$987, "&lt;"&amp;Rankings!$H409)+1, "TBD")</f>
        <v>4</v>
      </c>
      <c r="T409" s="225">
        <v>1.0</v>
      </c>
      <c r="U409" s="225" t="b">
        <f>Rankings!$S409=Rankings!$T409</f>
        <v>0</v>
      </c>
      <c r="V409" s="260"/>
      <c r="W409" s="153"/>
    </row>
    <row r="410" ht="15.0" customHeight="1">
      <c r="A410" s="189"/>
      <c r="B410" s="189"/>
      <c r="C410" s="189"/>
      <c r="D410" s="219">
        <f t="shared" si="60"/>
        <v>46045</v>
      </c>
      <c r="E410" s="227" t="str">
        <f>$P$1</f>
        <v>Weston</v>
      </c>
      <c r="F410" s="220">
        <f>IFERROR(AVERAGE(Rankings!$K410:$R410), "TBD")</f>
        <v>4.166666667</v>
      </c>
      <c r="G410" s="220">
        <f>IFERROR(_xlfn.STDEV.P(Rankings!$K410:$R410), "TBD")</f>
        <v>1.771690969</v>
      </c>
      <c r="H410" s="221">
        <f>IFERROR(AVERAGE(Rankings!$K410:$O410, Rankings!$R410), "TBD")</f>
        <v>4.8</v>
      </c>
      <c r="I410" s="222" t="s">
        <v>1158</v>
      </c>
      <c r="J410" s="222" t="s">
        <v>1159</v>
      </c>
      <c r="K410" s="143">
        <v>4.0</v>
      </c>
      <c r="L410" s="144">
        <v>3.0</v>
      </c>
      <c r="M410" s="144">
        <v>6.0</v>
      </c>
      <c r="N410" s="144">
        <v>6.0</v>
      </c>
      <c r="O410" s="144">
        <v>5.0</v>
      </c>
      <c r="P410" s="144">
        <v>1.0</v>
      </c>
      <c r="Q410" s="394"/>
      <c r="R410" s="395"/>
      <c r="S410" s="405">
        <f>IF(SUM(Rankings!$K410:$R410)&gt;0, COUNTIFS(Rankings!$D$2:$D$987, Rankings!$D410, Rankings!$F$2:$F$987, "&lt;"&amp;Rankings!$F410) + COUNTIFS(Rankings!$D$2:$D$987, Rankings!$D410, Rankings!$F$2:$F$987, Rankings!$F410, Rankings!$H$2:$H$987, "&lt;"&amp;Rankings!$H410)+1, "TBD")</f>
        <v>5</v>
      </c>
      <c r="T410" s="225">
        <v>1.0</v>
      </c>
      <c r="U410" s="225" t="b">
        <f>Rankings!$S410=Rankings!$T410</f>
        <v>0</v>
      </c>
      <c r="V410" s="260"/>
      <c r="W410" s="208"/>
      <c r="Y410" s="442"/>
      <c r="Z410" s="442"/>
    </row>
    <row r="411" ht="15.0" customHeight="1">
      <c r="A411" s="103">
        <v>46048.0</v>
      </c>
      <c r="B411" s="104"/>
      <c r="C411" s="104" t="str">
        <f t="array" ref="C411">INDEX(Rankings!$E411:$E417, MATCH(1, (Rankings!$D411:$D417=$A411)*(Rankings!$U411:$U417=TRUE()), 0))</f>
        <v>Flocco</v>
      </c>
      <c r="D411" s="111">
        <f>A411</f>
        <v>46048</v>
      </c>
      <c r="E411" s="113" t="str">
        <f>$K$1</f>
        <v>Logan</v>
      </c>
      <c r="F411" s="115">
        <f>IFERROR(AVERAGE(Rankings!$K411:$R411), "TBD")</f>
        <v>2.857142857</v>
      </c>
      <c r="G411" s="115">
        <f>IFERROR(_xlfn.STDEV.P(Rankings!$K411:$R411), "TBD")</f>
        <v>1.807015806</v>
      </c>
      <c r="H411" s="117">
        <f>IFERROR(AVERAGE(Rankings!$L411:$R411), "TBD")</f>
        <v>3</v>
      </c>
      <c r="I411" s="119" t="s">
        <v>1160</v>
      </c>
      <c r="J411" s="119" t="s">
        <v>1161</v>
      </c>
      <c r="K411" s="120">
        <v>2.0</v>
      </c>
      <c r="L411" s="121">
        <v>1.0</v>
      </c>
      <c r="M411" s="121">
        <v>6.0</v>
      </c>
      <c r="N411" s="121">
        <v>1.0</v>
      </c>
      <c r="O411" s="121">
        <v>5.0</v>
      </c>
      <c r="P411" s="121">
        <v>3.0</v>
      </c>
      <c r="Q411" s="445">
        <v>2.0</v>
      </c>
      <c r="R411" s="446"/>
      <c r="S411" s="401">
        <f>IF(SUM(Rankings!$K411:$R411)&gt;0, COUNTIFS(Rankings!$D$2:$D$987, Rankings!$D411, Rankings!$F$2:$F$987, "&lt;"&amp;Rankings!$F411) + COUNTIFS(Rankings!$D$2:$D$987, Rankings!$D411, Rankings!$F$2:$F$987, Rankings!$F411, Rankings!$H$2:$H$987, "&lt;"&amp;Rankings!$H411)+1, "TBD")</f>
        <v>2</v>
      </c>
      <c r="T411" s="217">
        <v>1.0</v>
      </c>
      <c r="U411" s="217" t="b">
        <f>Rankings!$S411=Rankings!$T411</f>
        <v>0</v>
      </c>
      <c r="V411" s="259"/>
      <c r="W411" s="259" t="s">
        <v>1162</v>
      </c>
      <c r="Y411" s="443"/>
      <c r="Z411" s="234"/>
    </row>
    <row r="412" ht="15.0" customHeight="1">
      <c r="A412" s="134"/>
      <c r="B412" s="134"/>
      <c r="C412" s="134"/>
      <c r="D412" s="219">
        <f>D411</f>
        <v>46048</v>
      </c>
      <c r="E412" s="138" t="str">
        <f>$L$1</f>
        <v>Parker</v>
      </c>
      <c r="F412" s="220">
        <f>IFERROR(AVERAGE(Rankings!$K412:$R412), "TBD")</f>
        <v>4.571428571</v>
      </c>
      <c r="G412" s="220">
        <f>IFERROR(_xlfn.STDEV.P(Rankings!$K412:$R412), "TBD")</f>
        <v>2.060315015</v>
      </c>
      <c r="H412" s="221">
        <f>IFERROR(AVERAGE(Rankings!$K412, Rankings!$M412:$R412), "TBD")</f>
        <v>4.833333333</v>
      </c>
      <c r="I412" s="222" t="s">
        <v>1163</v>
      </c>
      <c r="J412" s="222" t="s">
        <v>1164</v>
      </c>
      <c r="K412" s="143">
        <v>7.0</v>
      </c>
      <c r="L412" s="144">
        <v>3.0</v>
      </c>
      <c r="M412" s="144">
        <v>1.0</v>
      </c>
      <c r="N412" s="144">
        <v>4.0</v>
      </c>
      <c r="O412" s="144">
        <v>6.0</v>
      </c>
      <c r="P412" s="144">
        <v>4.0</v>
      </c>
      <c r="Q412" s="447">
        <v>7.0</v>
      </c>
      <c r="R412" s="448"/>
      <c r="S412" s="405">
        <f>IF(SUM(Rankings!$K412:$R412)&gt;0, COUNTIFS(Rankings!$D$2:$D$987, Rankings!$D412, Rankings!$F$2:$F$987, "&lt;"&amp;Rankings!$F412) + COUNTIFS(Rankings!$D$2:$D$987, Rankings!$D412, Rankings!$F$2:$F$987, Rankings!$F412, Rankings!$H$2:$H$987, "&lt;"&amp;Rankings!$H412)+1, "TBD")</f>
        <v>5</v>
      </c>
      <c r="T412" s="225">
        <v>1.0</v>
      </c>
      <c r="U412" s="225" t="b">
        <f>Rankings!$S412=Rankings!$T412</f>
        <v>0</v>
      </c>
      <c r="V412" s="260"/>
      <c r="W412" s="153"/>
      <c r="Y412" s="443"/>
      <c r="Z412" s="234"/>
    </row>
    <row r="413" ht="15.0" customHeight="1">
      <c r="A413" s="134"/>
      <c r="B413" s="134"/>
      <c r="C413" s="134"/>
      <c r="D413" s="219">
        <f>D411</f>
        <v>46048</v>
      </c>
      <c r="E413" s="227" t="str">
        <f>$M$1</f>
        <v>Giacomo</v>
      </c>
      <c r="F413" s="220">
        <f>IFERROR(AVERAGE(Rankings!$K413:$R413), "TBD")</f>
        <v>4.142857143</v>
      </c>
      <c r="G413" s="220">
        <f>IFERROR(_xlfn.STDEV.P(Rankings!$K413:$R413), "TBD")</f>
        <v>1.551825784</v>
      </c>
      <c r="H413" s="221">
        <f>IFERROR(AVERAGE(Rankings!$K413:$L413, Rankings!$N413:$R413), "TBD")</f>
        <v>4.5</v>
      </c>
      <c r="I413" s="222" t="s">
        <v>1165</v>
      </c>
      <c r="J413" s="222" t="s">
        <v>1166</v>
      </c>
      <c r="K413" s="143">
        <v>4.0</v>
      </c>
      <c r="L413" s="144">
        <v>2.0</v>
      </c>
      <c r="M413" s="144">
        <v>2.0</v>
      </c>
      <c r="N413" s="144">
        <v>6.0</v>
      </c>
      <c r="O413" s="144">
        <v>4.0</v>
      </c>
      <c r="P413" s="144">
        <v>5.0</v>
      </c>
      <c r="Q413" s="447">
        <v>6.0</v>
      </c>
      <c r="R413" s="448"/>
      <c r="S413" s="405">
        <f>IF(SUM(Rankings!$K413:$R413)&gt;0, COUNTIFS(Rankings!$D$2:$D$987, Rankings!$D413, Rankings!$F$2:$F$987, "&lt;"&amp;Rankings!$F413) + COUNTIFS(Rankings!$D$2:$D$987, Rankings!$D413, Rankings!$F$2:$F$987, Rankings!$F413, Rankings!$H$2:$H$987, "&lt;"&amp;Rankings!$H413)+1, "TBD")</f>
        <v>4</v>
      </c>
      <c r="T413" s="225">
        <v>1.0</v>
      </c>
      <c r="U413" s="225" t="b">
        <f>Rankings!$S413=Rankings!$T413</f>
        <v>0</v>
      </c>
      <c r="V413" s="260"/>
      <c r="W413" s="153"/>
      <c r="Y413" s="443"/>
      <c r="Z413" s="234"/>
    </row>
    <row r="414" ht="15.0" customHeight="1">
      <c r="A414" s="134"/>
      <c r="B414" s="134"/>
      <c r="C414" s="134"/>
      <c r="D414" s="219">
        <f>D411</f>
        <v>46048</v>
      </c>
      <c r="E414" s="227" t="str">
        <f>$N$1</f>
        <v>Rosey</v>
      </c>
      <c r="F414" s="220">
        <f>IFERROR(AVERAGE(Rankings!$K414:$R414), "TBD")</f>
        <v>5.428571429</v>
      </c>
      <c r="G414" s="220">
        <f>IFERROR(_xlfn.STDEV.P(Rankings!$K414:$R414), "TBD")</f>
        <v>1.989769754</v>
      </c>
      <c r="H414" s="221">
        <f>IFERROR(AVERAGE(Rankings!$K414:$M414, Rankings!$O414:$R414), "TBD")</f>
        <v>6</v>
      </c>
      <c r="I414" s="222" t="s">
        <v>1167</v>
      </c>
      <c r="J414" s="222" t="s">
        <v>1168</v>
      </c>
      <c r="K414" s="143">
        <v>3.0</v>
      </c>
      <c r="L414" s="144">
        <v>7.0</v>
      </c>
      <c r="M414" s="144">
        <v>7.0</v>
      </c>
      <c r="N414" s="144">
        <v>2.0</v>
      </c>
      <c r="O414" s="144">
        <v>7.0</v>
      </c>
      <c r="P414" s="144">
        <v>7.0</v>
      </c>
      <c r="Q414" s="447">
        <v>5.0</v>
      </c>
      <c r="R414" s="448"/>
      <c r="S414" s="405">
        <f>IF(SUM(Rankings!$K414:$R414)&gt;0, COUNTIFS(Rankings!$D$2:$D$987, Rankings!$D414, Rankings!$F$2:$F$987, "&lt;"&amp;Rankings!$F414) + COUNTIFS(Rankings!$D$2:$D$987, Rankings!$D414, Rankings!$F$2:$F$987, Rankings!$F414, Rankings!$H$2:$H$987, "&lt;"&amp;Rankings!$H414)+1, "TBD")</f>
        <v>7</v>
      </c>
      <c r="T414" s="225">
        <v>1.0</v>
      </c>
      <c r="U414" s="225" t="b">
        <f>Rankings!$S414=Rankings!$T414</f>
        <v>0</v>
      </c>
      <c r="V414" s="260"/>
      <c r="W414" s="153"/>
      <c r="Y414" s="443"/>
      <c r="Z414" s="234"/>
    </row>
    <row r="415" ht="15.0" customHeight="1">
      <c r="A415" s="134"/>
      <c r="B415" s="134"/>
      <c r="C415" s="134"/>
      <c r="D415" s="219">
        <f t="shared" ref="D415:D417" si="61">D411</f>
        <v>46048</v>
      </c>
      <c r="E415" s="227" t="str">
        <f>$O$1</f>
        <v>TTAC</v>
      </c>
      <c r="F415" s="220">
        <f>IFERROR(AVERAGE(Rankings!$K415:$R415), "TBD")</f>
        <v>4.857142857</v>
      </c>
      <c r="G415" s="220">
        <f>IFERROR(_xlfn.STDEV.P(Rankings!$K415:$R415), "TBD")</f>
        <v>1.456862718</v>
      </c>
      <c r="H415" s="221">
        <f>IFERROR(AVERAGE(Rankings!$K415:$N415, Rankings!$P415:$R415), "TBD")</f>
        <v>5.166666667</v>
      </c>
      <c r="I415" s="222" t="s">
        <v>1169</v>
      </c>
      <c r="J415" s="222" t="s">
        <v>1170</v>
      </c>
      <c r="K415" s="143">
        <v>6.0</v>
      </c>
      <c r="L415" s="144">
        <v>5.0</v>
      </c>
      <c r="M415" s="144">
        <v>4.0</v>
      </c>
      <c r="N415" s="144">
        <v>7.0</v>
      </c>
      <c r="O415" s="144">
        <v>3.0</v>
      </c>
      <c r="P415" s="144">
        <v>6.0</v>
      </c>
      <c r="Q415" s="447">
        <v>3.0</v>
      </c>
      <c r="R415" s="448"/>
      <c r="S415" s="405">
        <f>IF(SUM(Rankings!$K415:$R415)&gt;0, COUNTIFS(Rankings!$D$2:$D$987, Rankings!$D415, Rankings!$F$2:$F$987, "&lt;"&amp;Rankings!$F415) + COUNTIFS(Rankings!$D$2:$D$987, Rankings!$D415, Rankings!$F$2:$F$987, Rankings!$F415, Rankings!$H$2:$H$987, "&lt;"&amp;Rankings!$H415)+1, "TBD")</f>
        <v>6</v>
      </c>
      <c r="T415" s="225">
        <v>1.0</v>
      </c>
      <c r="U415" s="225" t="b">
        <f>Rankings!$S415=Rankings!$T415</f>
        <v>0</v>
      </c>
      <c r="V415" s="260"/>
      <c r="W415" s="153"/>
      <c r="Y415" s="443"/>
      <c r="Z415" s="234"/>
    </row>
    <row r="416" ht="15.0" customHeight="1">
      <c r="A416" s="134"/>
      <c r="B416" s="134"/>
      <c r="C416" s="134"/>
      <c r="D416" s="219">
        <f t="shared" si="61"/>
        <v>46048</v>
      </c>
      <c r="E416" s="227" t="str">
        <f>$P$1</f>
        <v>Weston</v>
      </c>
      <c r="F416" s="220">
        <f>IFERROR(AVERAGE(Rankings!$K416:$R416), "TBD")</f>
        <v>3.714285714</v>
      </c>
      <c r="G416" s="220">
        <f>IFERROR(_xlfn.STDEV.P(Rankings!$K416:$R416), "TBD")</f>
        <v>1.484614978</v>
      </c>
      <c r="H416" s="221">
        <f>IFERROR(AVERAGE(Rankings!$K416:$O416, Rankings!$Q416:$R416), "TBD")</f>
        <v>4.166666667</v>
      </c>
      <c r="I416" s="222" t="s">
        <v>1171</v>
      </c>
      <c r="J416" s="222" t="s">
        <v>1172</v>
      </c>
      <c r="K416" s="143">
        <v>5.0</v>
      </c>
      <c r="L416" s="144">
        <v>4.0</v>
      </c>
      <c r="M416" s="144">
        <v>5.0</v>
      </c>
      <c r="N416" s="144">
        <v>5.0</v>
      </c>
      <c r="O416" s="144">
        <v>2.0</v>
      </c>
      <c r="P416" s="144">
        <v>1.0</v>
      </c>
      <c r="Q416" s="447">
        <v>4.0</v>
      </c>
      <c r="R416" s="448"/>
      <c r="S416" s="405">
        <f>IF(SUM(Rankings!$K416:$R416)&gt;0, COUNTIFS(Rankings!$D$2:$D$987, Rankings!$D415, Rankings!$F$2:$F$987, "&lt;"&amp;Rankings!$F416) + COUNTIFS(Rankings!$D$2:$D$987, Rankings!$D415, Rankings!$F$2:$F$987, Rankings!$F416, Rankings!$H$2:$H$987, "&lt;"&amp;Rankings!$H416)+1, "TBD")</f>
        <v>3</v>
      </c>
      <c r="T416" s="449">
        <v>1.0</v>
      </c>
      <c r="U416" s="225" t="b">
        <f>Rankings!$S416=Rankings!$T416</f>
        <v>0</v>
      </c>
      <c r="V416" s="260"/>
      <c r="W416" s="153"/>
      <c r="Y416" s="443"/>
      <c r="Z416" s="234"/>
    </row>
    <row r="417" ht="15.0" customHeight="1">
      <c r="A417" s="189"/>
      <c r="B417" s="189"/>
      <c r="C417" s="189"/>
      <c r="D417" s="219">
        <f t="shared" si="61"/>
        <v>46048</v>
      </c>
      <c r="E417" s="131" t="str">
        <f>$Q$1</f>
        <v>Flocco</v>
      </c>
      <c r="F417" s="220">
        <f>IFERROR(AVERAGE(Rankings!$K417:$R417), "TBD")</f>
        <v>2.428571429</v>
      </c>
      <c r="G417" s="220">
        <f>IFERROR(_xlfn.STDEV.P(Rankings!$K417:$R417), "TBD")</f>
        <v>1.678191446</v>
      </c>
      <c r="H417" s="221">
        <f>IFERROR(AVERAGE(Rankings!$K417:$P417, Rankings!$R417), "TBD")</f>
        <v>2.666666667</v>
      </c>
      <c r="I417" s="222" t="s">
        <v>404</v>
      </c>
      <c r="J417" s="222" t="s">
        <v>1173</v>
      </c>
      <c r="K417" s="143">
        <v>1.0</v>
      </c>
      <c r="L417" s="144">
        <v>6.0</v>
      </c>
      <c r="M417" s="144">
        <v>3.0</v>
      </c>
      <c r="N417" s="144">
        <v>3.0</v>
      </c>
      <c r="O417" s="144">
        <v>1.0</v>
      </c>
      <c r="P417" s="144">
        <v>2.0</v>
      </c>
      <c r="Q417" s="447">
        <v>1.0</v>
      </c>
      <c r="R417" s="448"/>
      <c r="S417" s="405">
        <f>IF(SUM(Rankings!$K417:$R417)&gt;0, COUNTIFS(Rankings!$D$2:$D$987, Rankings!$D416, Rankings!$F$2:$F$987, "&lt;"&amp;Rankings!$F417) + COUNTIFS(Rankings!$D$2:$D$987, Rankings!$D416, Rankings!$F$2:$F$987, Rankings!$F417, Rankings!$H$2:$H$987, "&lt;"&amp;Rankings!$H417)+1, "TBD")</f>
        <v>1</v>
      </c>
      <c r="T417" s="225">
        <v>1.0</v>
      </c>
      <c r="U417" s="225" t="b">
        <f>Rankings!$S417=Rankings!$T417</f>
        <v>1</v>
      </c>
      <c r="V417" s="260"/>
      <c r="W417" s="208"/>
      <c r="Y417" s="443"/>
      <c r="Z417" s="234"/>
    </row>
    <row r="418" ht="15.0" customHeight="1">
      <c r="A418" s="103">
        <v>46050.0</v>
      </c>
      <c r="B418" s="104"/>
      <c r="C418" s="104" t="str">
        <f t="array" ref="C418">INDEX(Rankings!$E418:$E424, MATCH(1, (Rankings!$D418:$D424=$A418)*(Rankings!$U418:$U424=TRUE()), 0))</f>
        <v>Parker</v>
      </c>
      <c r="D418" s="111">
        <f>A418</f>
        <v>46050</v>
      </c>
      <c r="E418" s="113" t="str">
        <f>$K$1</f>
        <v>Logan</v>
      </c>
      <c r="F418" s="115">
        <f>IFERROR(AVERAGE(Rankings!$K418:$R418), "TBD")</f>
        <v>3.571428571</v>
      </c>
      <c r="G418" s="115">
        <f>IFERROR(_xlfn.STDEV.P(Rankings!$K418:$R418), "TBD")</f>
        <v>1.840585532</v>
      </c>
      <c r="H418" s="117">
        <f>IFERROR(AVERAGE(Rankings!$L418:$R418), "TBD")</f>
        <v>4</v>
      </c>
      <c r="I418" s="119" t="s">
        <v>1174</v>
      </c>
      <c r="J418" s="119" t="s">
        <v>1175</v>
      </c>
      <c r="K418" s="120">
        <v>1.0</v>
      </c>
      <c r="L418" s="121">
        <v>5.0</v>
      </c>
      <c r="M418" s="121">
        <v>6.0</v>
      </c>
      <c r="N418" s="121">
        <v>1.0</v>
      </c>
      <c r="O418" s="121">
        <v>5.0</v>
      </c>
      <c r="P418" s="121">
        <v>4.0</v>
      </c>
      <c r="Q418" s="445">
        <v>3.0</v>
      </c>
      <c r="R418" s="446"/>
      <c r="S418" s="401">
        <f>IF(SUM(Rankings!$K418:$R418)&gt;0, COUNTIFS(Rankings!$D$2:$D$987, Rankings!$D418, Rankings!$F$2:$F$987, "&lt;"&amp;Rankings!$F418) + COUNTIFS(Rankings!$D$2:$D$987, Rankings!$D418, Rankings!$F$2:$F$987, Rankings!$F418, Rankings!$H$2:$H$987, "&lt;"&amp;Rankings!$H418)+1, "TBD")</f>
        <v>3</v>
      </c>
      <c r="T418" s="217">
        <v>1.0</v>
      </c>
      <c r="U418" s="217" t="b">
        <f>Rankings!$S418=Rankings!$T418</f>
        <v>0</v>
      </c>
      <c r="V418" s="259"/>
      <c r="W418" s="259"/>
    </row>
    <row r="419" ht="15.0" customHeight="1">
      <c r="A419" s="134"/>
      <c r="B419" s="134"/>
      <c r="C419" s="134"/>
      <c r="D419" s="219">
        <f>D418</f>
        <v>46050</v>
      </c>
      <c r="E419" s="138" t="str">
        <f>$L$1</f>
        <v>Parker</v>
      </c>
      <c r="F419" s="220">
        <f>IFERROR(AVERAGE(Rankings!$K419:$R419), "TBD")</f>
        <v>2.857142857</v>
      </c>
      <c r="G419" s="220">
        <f>IFERROR(_xlfn.STDEV.P(Rankings!$K419:$R419), "TBD")</f>
        <v>2.231499907</v>
      </c>
      <c r="H419" s="221">
        <f>IFERROR(AVERAGE(Rankings!$K419, Rankings!$M419:$R419), "TBD")</f>
        <v>3.166666667</v>
      </c>
      <c r="I419" s="222" t="s">
        <v>411</v>
      </c>
      <c r="J419" s="222" t="s">
        <v>1176</v>
      </c>
      <c r="K419" s="143">
        <v>6.0</v>
      </c>
      <c r="L419" s="144">
        <v>1.0</v>
      </c>
      <c r="M419" s="144">
        <v>1.0</v>
      </c>
      <c r="N419" s="144">
        <v>6.0</v>
      </c>
      <c r="O419" s="144">
        <v>1.0</v>
      </c>
      <c r="P419" s="144">
        <v>1.0</v>
      </c>
      <c r="Q419" s="447">
        <v>4.0</v>
      </c>
      <c r="R419" s="448"/>
      <c r="S419" s="405">
        <f>IF(SUM(Rankings!$K419:$R419)&gt;0, COUNTIFS(Rankings!$D$2:$D$987, Rankings!$D419, Rankings!$F$2:$F$987, "&lt;"&amp;Rankings!$F419) + COUNTIFS(Rankings!$D$2:$D$987, Rankings!$D419, Rankings!$F$2:$F$987, Rankings!$F419, Rankings!$H$2:$H$987, "&lt;"&amp;Rankings!$H419)+1, "TBD")</f>
        <v>1</v>
      </c>
      <c r="T419" s="225">
        <v>1.0</v>
      </c>
      <c r="U419" s="225" t="b">
        <f>Rankings!$S419=Rankings!$T419</f>
        <v>1</v>
      </c>
      <c r="V419" s="260"/>
      <c r="W419" s="153"/>
    </row>
    <row r="420" ht="15.0" customHeight="1">
      <c r="A420" s="134"/>
      <c r="B420" s="134"/>
      <c r="C420" s="134"/>
      <c r="D420" s="219">
        <f>D418</f>
        <v>46050</v>
      </c>
      <c r="E420" s="227" t="str">
        <f>$M$1</f>
        <v>Giacomo</v>
      </c>
      <c r="F420" s="220">
        <f>IFERROR(AVERAGE(Rankings!$K420:$R420), "TBD")</f>
        <v>4.428571429</v>
      </c>
      <c r="G420" s="220">
        <f>IFERROR(_xlfn.STDEV.P(Rankings!$K420:$R420), "TBD")</f>
        <v>1.761261144</v>
      </c>
      <c r="H420" s="221">
        <f>IFERROR(AVERAGE(Rankings!$K420:$L420, Rankings!$N420:$R420), "TBD")</f>
        <v>4.833333333</v>
      </c>
      <c r="I420" s="222" t="s">
        <v>1177</v>
      </c>
      <c r="J420" s="222" t="s">
        <v>1178</v>
      </c>
      <c r="K420" s="143">
        <v>4.0</v>
      </c>
      <c r="L420" s="144">
        <v>2.0</v>
      </c>
      <c r="M420" s="144">
        <v>2.0</v>
      </c>
      <c r="N420" s="144">
        <v>5.0</v>
      </c>
      <c r="O420" s="144">
        <v>6.0</v>
      </c>
      <c r="P420" s="144">
        <v>5.0</v>
      </c>
      <c r="Q420" s="447">
        <v>7.0</v>
      </c>
      <c r="R420" s="448"/>
      <c r="S420" s="405">
        <f>IF(SUM(Rankings!$K420:$R420)&gt;0, COUNTIFS(Rankings!$D$2:$D$987, Rankings!$D420, Rankings!$F$2:$F$987, "&lt;"&amp;Rankings!$F420) + COUNTIFS(Rankings!$D$2:$D$987, Rankings!$D420, Rankings!$F$2:$F$987, Rankings!$F420, Rankings!$H$2:$H$987, "&lt;"&amp;Rankings!$H420)+1, "TBD")</f>
        <v>5</v>
      </c>
      <c r="T420" s="225">
        <v>1.0</v>
      </c>
      <c r="U420" s="225" t="b">
        <f>Rankings!$S420=Rankings!$T420</f>
        <v>0</v>
      </c>
      <c r="V420" s="260"/>
      <c r="W420" s="153"/>
    </row>
    <row r="421" ht="15.0" customHeight="1">
      <c r="A421" s="134"/>
      <c r="B421" s="134"/>
      <c r="C421" s="134"/>
      <c r="D421" s="219">
        <f>D418</f>
        <v>46050</v>
      </c>
      <c r="E421" s="227" t="str">
        <f>$N$1</f>
        <v>Rosey</v>
      </c>
      <c r="F421" s="220">
        <f>IFERROR(AVERAGE(Rankings!$K421:$R421), "TBD")</f>
        <v>3.428571429</v>
      </c>
      <c r="G421" s="220">
        <f>IFERROR(_xlfn.STDEV.P(Rankings!$K421:$R421), "TBD")</f>
        <v>1.590789818</v>
      </c>
      <c r="H421" s="221">
        <f>IFERROR(AVERAGE(Rankings!$K421:$M421, Rankings!$O421:$R421), "TBD")</f>
        <v>3.666666667</v>
      </c>
      <c r="I421" s="222" t="s">
        <v>1179</v>
      </c>
      <c r="J421" s="222" t="s">
        <v>1180</v>
      </c>
      <c r="K421" s="143">
        <v>5.0</v>
      </c>
      <c r="L421" s="144">
        <v>6.0</v>
      </c>
      <c r="M421" s="144">
        <v>4.0</v>
      </c>
      <c r="N421" s="144">
        <v>2.0</v>
      </c>
      <c r="O421" s="144">
        <v>3.0</v>
      </c>
      <c r="P421" s="144">
        <v>3.0</v>
      </c>
      <c r="Q421" s="447">
        <v>1.0</v>
      </c>
      <c r="R421" s="448"/>
      <c r="S421" s="405">
        <f>IF(SUM(Rankings!$K421:$R421)&gt;0, COUNTIFS(Rankings!$D$2:$D$987, Rankings!$D421, Rankings!$F$2:$F$987, "&lt;"&amp;Rankings!$F421) + COUNTIFS(Rankings!$D$2:$D$987, Rankings!$D421, Rankings!$F$2:$F$987, Rankings!$F421, Rankings!$H$2:$H$987, "&lt;"&amp;Rankings!$H421)+1, "TBD")</f>
        <v>2</v>
      </c>
      <c r="T421" s="225">
        <v>1.0</v>
      </c>
      <c r="U421" s="225" t="b">
        <f>Rankings!$S421=Rankings!$T421</f>
        <v>0</v>
      </c>
      <c r="V421" s="260"/>
      <c r="W421" s="153"/>
    </row>
    <row r="422" ht="15.0" customHeight="1">
      <c r="A422" s="134"/>
      <c r="B422" s="134"/>
      <c r="C422" s="134"/>
      <c r="D422" s="219">
        <f t="shared" ref="D422:D424" si="62">D418</f>
        <v>46050</v>
      </c>
      <c r="E422" s="227" t="str">
        <f>$O$1</f>
        <v>TTAC</v>
      </c>
      <c r="F422" s="220">
        <f>IFERROR(AVERAGE(Rankings!$K422:$R422), "TBD")</f>
        <v>5.142857143</v>
      </c>
      <c r="G422" s="220">
        <f>IFERROR(_xlfn.STDEV.P(Rankings!$K422:$R422), "TBD")</f>
        <v>1.641303613</v>
      </c>
      <c r="H422" s="221">
        <f>IFERROR(AVERAGE(Rankings!$K422:$N422, Rankings!$P422:$R422), "TBD")</f>
        <v>5.333333333</v>
      </c>
      <c r="I422" s="222" t="s">
        <v>1181</v>
      </c>
      <c r="J422" s="222" t="s">
        <v>1182</v>
      </c>
      <c r="K422" s="143">
        <v>7.0</v>
      </c>
      <c r="L422" s="144">
        <v>3.0</v>
      </c>
      <c r="M422" s="144">
        <v>3.0</v>
      </c>
      <c r="N422" s="144">
        <v>7.0</v>
      </c>
      <c r="O422" s="144">
        <v>4.0</v>
      </c>
      <c r="P422" s="144">
        <v>6.0</v>
      </c>
      <c r="Q422" s="447">
        <v>6.0</v>
      </c>
      <c r="R422" s="448"/>
      <c r="S422" s="405">
        <f>IF(SUM(Rankings!$K422:$R422)&gt;0, COUNTIFS(Rankings!$D$2:$D$987, Rankings!$D422, Rankings!$F$2:$F$987, "&lt;"&amp;Rankings!$F422) + COUNTIFS(Rankings!$D$2:$D$987, Rankings!$D422, Rankings!$F$2:$F$987, Rankings!$F422, Rankings!$H$2:$H$987, "&lt;"&amp;Rankings!$H422)+1, "TBD")</f>
        <v>7</v>
      </c>
      <c r="T422" s="225">
        <v>1.0</v>
      </c>
      <c r="U422" s="225" t="b">
        <f>Rankings!$S422=Rankings!$T422</f>
        <v>0</v>
      </c>
      <c r="V422" s="260"/>
      <c r="W422" s="153"/>
    </row>
    <row r="423" ht="15.0" customHeight="1">
      <c r="A423" s="134"/>
      <c r="B423" s="134"/>
      <c r="C423" s="134"/>
      <c r="D423" s="219">
        <f t="shared" si="62"/>
        <v>46050</v>
      </c>
      <c r="E423" s="227" t="str">
        <f>$P$1</f>
        <v>Weston</v>
      </c>
      <c r="F423" s="220">
        <f>IFERROR(AVERAGE(Rankings!$K423:$R423), "TBD")</f>
        <v>4.571428571</v>
      </c>
      <c r="G423" s="220">
        <f>IFERROR(_xlfn.STDEV.P(Rankings!$K423:$R423), "TBD")</f>
        <v>1.916629695</v>
      </c>
      <c r="H423" s="221">
        <f>IFERROR(AVERAGE(Rankings!$K423:$O423, Rankings!$Q423:$R423), "TBD")</f>
        <v>5</v>
      </c>
      <c r="I423" s="222" t="s">
        <v>1183</v>
      </c>
      <c r="J423" s="222" t="s">
        <v>1184</v>
      </c>
      <c r="K423" s="143">
        <v>2.0</v>
      </c>
      <c r="L423" s="144">
        <v>7.0</v>
      </c>
      <c r="M423" s="144">
        <v>5.0</v>
      </c>
      <c r="N423" s="144">
        <v>4.0</v>
      </c>
      <c r="O423" s="144">
        <v>7.0</v>
      </c>
      <c r="P423" s="144">
        <v>2.0</v>
      </c>
      <c r="Q423" s="447">
        <v>5.0</v>
      </c>
      <c r="R423" s="448"/>
      <c r="S423" s="405">
        <f>IF(SUM(Rankings!$K423:$R423)&gt;0, COUNTIFS(Rankings!$D$2:$D$987, Rankings!$D422, Rankings!$F$2:$F$987, "&lt;"&amp;Rankings!$F423) + COUNTIFS(Rankings!$D$2:$D$987, Rankings!$D422, Rankings!$F$2:$F$987, Rankings!$F423, Rankings!$H$2:$H$987, "&lt;"&amp;Rankings!$H423)+1, "TBD")</f>
        <v>6</v>
      </c>
      <c r="T423" s="449">
        <v>1.0</v>
      </c>
      <c r="U423" s="225" t="b">
        <f>Rankings!$S423=Rankings!$T423</f>
        <v>0</v>
      </c>
      <c r="V423" s="260"/>
      <c r="W423" s="153"/>
    </row>
    <row r="424" ht="15.0" customHeight="1">
      <c r="A424" s="189"/>
      <c r="B424" s="189"/>
      <c r="C424" s="189"/>
      <c r="D424" s="219">
        <f t="shared" si="62"/>
        <v>46050</v>
      </c>
      <c r="E424" s="131" t="str">
        <f>$Q$1</f>
        <v>Flocco</v>
      </c>
      <c r="F424" s="220">
        <f>IFERROR(AVERAGE(Rankings!$K424:$R424), "TBD")</f>
        <v>4</v>
      </c>
      <c r="G424" s="220">
        <f>IFERROR(_xlfn.STDEV.P(Rankings!$K424:$R424), "TBD")</f>
        <v>2</v>
      </c>
      <c r="H424" s="221">
        <f>IFERROR(AVERAGE(Rankings!$K424:$P424, Rankings!$R424), "TBD")</f>
        <v>4.333333333</v>
      </c>
      <c r="I424" s="222" t="s">
        <v>1185</v>
      </c>
      <c r="J424" s="222" t="s">
        <v>1186</v>
      </c>
      <c r="K424" s="143">
        <v>3.0</v>
      </c>
      <c r="L424" s="144">
        <v>4.0</v>
      </c>
      <c r="M424" s="144">
        <v>7.0</v>
      </c>
      <c r="N424" s="144">
        <v>3.0</v>
      </c>
      <c r="O424" s="144">
        <v>2.0</v>
      </c>
      <c r="P424" s="144">
        <v>7.0</v>
      </c>
      <c r="Q424" s="447">
        <v>2.0</v>
      </c>
      <c r="R424" s="448"/>
      <c r="S424" s="405">
        <f>IF(SUM(Rankings!$K424:$R424)&gt;0, COUNTIFS(Rankings!$D$2:$D$987, Rankings!$D423, Rankings!$F$2:$F$987, "&lt;"&amp;Rankings!$F424) + COUNTIFS(Rankings!$D$2:$D$987, Rankings!$D423, Rankings!$F$2:$F$987, Rankings!$F424, Rankings!$H$2:$H$987, "&lt;"&amp;Rankings!$H424)+1, "TBD")</f>
        <v>4</v>
      </c>
      <c r="T424" s="449">
        <v>1.0</v>
      </c>
      <c r="U424" s="225" t="b">
        <f>Rankings!$S424=Rankings!$T424</f>
        <v>0</v>
      </c>
      <c r="V424" s="260"/>
      <c r="W424" s="208"/>
    </row>
    <row r="425" ht="15.0" customHeight="1">
      <c r="A425" s="103">
        <v>46052.0</v>
      </c>
      <c r="B425" s="104"/>
      <c r="C425" s="104" t="str">
        <f t="array" ref="C425">INDEX(Rankings!$E425:$E431, MATCH(1, (Rankings!$D425:$D431=$A425)*(Rankings!$U425:$U431=TRUE()), 0))</f>
        <v>Flocco</v>
      </c>
      <c r="D425" s="111">
        <f>A425</f>
        <v>46052</v>
      </c>
      <c r="E425" s="113" t="str">
        <f>$K$1</f>
        <v>Logan</v>
      </c>
      <c r="F425" s="115">
        <f>IFERROR(AVERAGE(Rankings!$K425:$R425), "TBD")</f>
        <v>4.428571429</v>
      </c>
      <c r="G425" s="115">
        <f>IFERROR(_xlfn.STDEV.P(Rankings!$K425:$R425), "TBD")</f>
        <v>1.840585532</v>
      </c>
      <c r="H425" s="117">
        <f>IFERROR(AVERAGE(Rankings!$L425:$R425), "TBD")</f>
        <v>5</v>
      </c>
      <c r="I425" s="119" t="s">
        <v>1187</v>
      </c>
      <c r="J425" s="119" t="s">
        <v>1188</v>
      </c>
      <c r="K425" s="120">
        <v>1.0</v>
      </c>
      <c r="L425" s="121">
        <v>7.0</v>
      </c>
      <c r="M425" s="121">
        <v>3.0</v>
      </c>
      <c r="N425" s="121">
        <v>5.0</v>
      </c>
      <c r="O425" s="121">
        <v>6.0</v>
      </c>
      <c r="P425" s="121">
        <v>5.0</v>
      </c>
      <c r="Q425" s="445">
        <v>4.0</v>
      </c>
      <c r="R425" s="446"/>
      <c r="S425" s="401">
        <f>IF(SUM(Rankings!$K425:$R425)&gt;0, COUNTIFS(Rankings!$D$2:$D$987, Rankings!$D425, Rankings!$F$2:$F$987, "&lt;"&amp;Rankings!$F425) + COUNTIFS(Rankings!$D$2:$D$987, Rankings!$D425, Rankings!$F$2:$F$987, Rankings!$F425, Rankings!$H$2:$H$987, "&lt;"&amp;Rankings!$H425)+1, "TBD")</f>
        <v>6</v>
      </c>
      <c r="T425" s="217">
        <v>1.0</v>
      </c>
      <c r="U425" s="217" t="b">
        <f>Rankings!$S425=Rankings!$T425</f>
        <v>0</v>
      </c>
      <c r="V425" s="259"/>
      <c r="W425" s="259"/>
    </row>
    <row r="426" ht="15.0" customHeight="1">
      <c r="A426" s="134"/>
      <c r="B426" s="134"/>
      <c r="C426" s="134"/>
      <c r="D426" s="219">
        <f>D425</f>
        <v>46052</v>
      </c>
      <c r="E426" s="138" t="str">
        <f>$L$1</f>
        <v>Parker</v>
      </c>
      <c r="F426" s="220">
        <f>IFERROR(AVERAGE(Rankings!$K426:$R426), "TBD")</f>
        <v>3.857142857</v>
      </c>
      <c r="G426" s="220">
        <f>IFERROR(_xlfn.STDEV.P(Rankings!$K426:$R426), "TBD")</f>
        <v>2.099562637</v>
      </c>
      <c r="H426" s="221">
        <f>IFERROR(AVERAGE(Rankings!$K426, Rankings!$M426:$R426), "TBD")</f>
        <v>4.333333333</v>
      </c>
      <c r="I426" s="222" t="s">
        <v>1189</v>
      </c>
      <c r="J426" s="222" t="s">
        <v>541</v>
      </c>
      <c r="K426" s="143">
        <v>2.0</v>
      </c>
      <c r="L426" s="144">
        <v>1.0</v>
      </c>
      <c r="M426" s="144">
        <v>2.0</v>
      </c>
      <c r="N426" s="144">
        <v>4.0</v>
      </c>
      <c r="O426" s="144">
        <v>5.0</v>
      </c>
      <c r="P426" s="144">
        <v>6.0</v>
      </c>
      <c r="Q426" s="447">
        <v>7.0</v>
      </c>
      <c r="R426" s="448"/>
      <c r="S426" s="405">
        <f>IF(SUM(Rankings!$K426:$R426)&gt;0, COUNTIFS(Rankings!$D$2:$D$987, Rankings!$D426, Rankings!$F$2:$F$987, "&lt;"&amp;Rankings!$F426) + COUNTIFS(Rankings!$D$2:$D$987, Rankings!$D426, Rankings!$F$2:$F$987, Rankings!$F426, Rankings!$H$2:$H$987, "&lt;"&amp;Rankings!$H426)+1, "TBD")</f>
        <v>4</v>
      </c>
      <c r="T426" s="225">
        <v>1.0</v>
      </c>
      <c r="U426" s="225" t="b">
        <f>Rankings!$S426=Rankings!$T426</f>
        <v>0</v>
      </c>
      <c r="V426" s="260"/>
      <c r="W426" s="153"/>
    </row>
    <row r="427" ht="15.0" customHeight="1">
      <c r="A427" s="134"/>
      <c r="B427" s="134"/>
      <c r="C427" s="134"/>
      <c r="D427" s="219">
        <f>D425</f>
        <v>46052</v>
      </c>
      <c r="E427" s="227" t="str">
        <f>$M$1</f>
        <v>Giacomo</v>
      </c>
      <c r="F427" s="220">
        <f>IFERROR(AVERAGE(Rankings!$K427:$R427), "TBD")</f>
        <v>3.857142857</v>
      </c>
      <c r="G427" s="220">
        <f>IFERROR(_xlfn.STDEV.P(Rankings!$K427:$R427), "TBD")</f>
        <v>2.294625486</v>
      </c>
      <c r="H427" s="221">
        <f>IFERROR(AVERAGE(Rankings!$K427:$L427, Rankings!$N427:$R427), "TBD")</f>
        <v>4.333333333</v>
      </c>
      <c r="I427" s="450" t="s">
        <v>1190</v>
      </c>
      <c r="J427" s="222" t="s">
        <v>1191</v>
      </c>
      <c r="K427" s="143">
        <v>3.0</v>
      </c>
      <c r="L427" s="144">
        <v>3.0</v>
      </c>
      <c r="M427" s="144">
        <v>1.0</v>
      </c>
      <c r="N427" s="144">
        <v>6.0</v>
      </c>
      <c r="O427" s="144">
        <v>7.0</v>
      </c>
      <c r="P427" s="144">
        <v>1.0</v>
      </c>
      <c r="Q427" s="447">
        <v>6.0</v>
      </c>
      <c r="R427" s="448"/>
      <c r="S427" s="405">
        <f>IF(SUM(Rankings!$K427:$R427)&gt;0, COUNTIFS(Rankings!$D$2:$D$987, Rankings!$D427, Rankings!$F$2:$F$987, "&lt;"&amp;Rankings!$F427) + COUNTIFS(Rankings!$D$2:$D$987, Rankings!$D427, Rankings!$F$2:$F$987, Rankings!$F427, Rankings!$H$2:$H$987, "&lt;"&amp;Rankings!$H427)+1, "TBD")</f>
        <v>4</v>
      </c>
      <c r="T427" s="225">
        <v>1.0</v>
      </c>
      <c r="U427" s="225" t="b">
        <f>Rankings!$S427=Rankings!$T427</f>
        <v>0</v>
      </c>
      <c r="V427" s="260"/>
      <c r="W427" s="153"/>
    </row>
    <row r="428" ht="15.0" customHeight="1">
      <c r="A428" s="134"/>
      <c r="B428" s="134"/>
      <c r="C428" s="134"/>
      <c r="D428" s="219">
        <f>D425</f>
        <v>46052</v>
      </c>
      <c r="E428" s="227" t="str">
        <f>$N$1</f>
        <v>Rosey</v>
      </c>
      <c r="F428" s="220">
        <f>IFERROR(AVERAGE(Rankings!$K428:$R428), "TBD")</f>
        <v>3.857142857</v>
      </c>
      <c r="G428" s="220">
        <f>IFERROR(_xlfn.STDEV.P(Rankings!$K428:$R428), "TBD")</f>
        <v>2.099562637</v>
      </c>
      <c r="H428" s="221">
        <f>IFERROR(AVERAGE(Rankings!$K428:$M428, Rankings!$O428:$R428), "TBD")</f>
        <v>4.166666667</v>
      </c>
      <c r="I428" s="222" t="s">
        <v>1192</v>
      </c>
      <c r="J428" s="222" t="s">
        <v>989</v>
      </c>
      <c r="K428" s="143">
        <v>7.0</v>
      </c>
      <c r="L428" s="144">
        <v>2.0</v>
      </c>
      <c r="M428" s="144">
        <v>4.0</v>
      </c>
      <c r="N428" s="144">
        <v>2.0</v>
      </c>
      <c r="O428" s="144">
        <v>3.0</v>
      </c>
      <c r="P428" s="144">
        <v>7.0</v>
      </c>
      <c r="Q428" s="447">
        <v>2.0</v>
      </c>
      <c r="R428" s="448"/>
      <c r="S428" s="405">
        <f>IF(SUM(Rankings!$K428:$R428)&gt;0, COUNTIFS(Rankings!$D$2:$D$987, Rankings!$D428, Rankings!$F$2:$F$987, "&lt;"&amp;Rankings!$F428) + COUNTIFS(Rankings!$D$2:$D$987, Rankings!$D428, Rankings!$F$2:$F$987, Rankings!$F428, Rankings!$H$2:$H$987, "&lt;"&amp;Rankings!$H428)+1, "TBD")</f>
        <v>3</v>
      </c>
      <c r="T428" s="225">
        <v>1.0</v>
      </c>
      <c r="U428" s="225" t="b">
        <f>Rankings!$S428=Rankings!$T428</f>
        <v>0</v>
      </c>
      <c r="V428" s="260"/>
      <c r="W428" s="153"/>
    </row>
    <row r="429" ht="15.0" customHeight="1">
      <c r="A429" s="134"/>
      <c r="B429" s="134"/>
      <c r="C429" s="134"/>
      <c r="D429" s="219">
        <f t="shared" ref="D429:D431" si="63">D425</f>
        <v>46052</v>
      </c>
      <c r="E429" s="227" t="str">
        <f>$O$1</f>
        <v>TTAC</v>
      </c>
      <c r="F429" s="220">
        <f>IFERROR(AVERAGE(Rankings!$K429:$R429), "TBD")</f>
        <v>3.571428571</v>
      </c>
      <c r="G429" s="220">
        <f>IFERROR(_xlfn.STDEV.P(Rankings!$K429:$R429), "TBD")</f>
        <v>1.989769754</v>
      </c>
      <c r="H429" s="221">
        <f>IFERROR(AVERAGE(Rankings!$K429:$N429, Rankings!$P429:$R429), "TBD")</f>
        <v>4</v>
      </c>
      <c r="I429" s="222" t="s">
        <v>1193</v>
      </c>
      <c r="J429" s="222" t="s">
        <v>1194</v>
      </c>
      <c r="K429" s="143">
        <v>5.0</v>
      </c>
      <c r="L429" s="144">
        <v>4.0</v>
      </c>
      <c r="M429" s="144">
        <v>7.0</v>
      </c>
      <c r="N429" s="144">
        <v>1.0</v>
      </c>
      <c r="O429" s="144">
        <v>1.0</v>
      </c>
      <c r="P429" s="144">
        <v>4.0</v>
      </c>
      <c r="Q429" s="447">
        <v>3.0</v>
      </c>
      <c r="R429" s="448"/>
      <c r="S429" s="405">
        <f>IF(SUM(Rankings!$K429:$R429)&gt;0, COUNTIFS(Rankings!$D$2:$D$987, Rankings!$D429, Rankings!$F$2:$F$987, "&lt;"&amp;Rankings!$F429) + COUNTIFS(Rankings!$D$2:$D$987, Rankings!$D429, Rankings!$F$2:$F$987, Rankings!$F429, Rankings!$H$2:$H$987, "&lt;"&amp;Rankings!$H429)+1, "TBD")</f>
        <v>2</v>
      </c>
      <c r="T429" s="225">
        <v>1.0</v>
      </c>
      <c r="U429" s="225" t="b">
        <f>Rankings!$S429=Rankings!$T429</f>
        <v>0</v>
      </c>
      <c r="V429" s="260"/>
      <c r="W429" s="153"/>
    </row>
    <row r="430" ht="15.0" customHeight="1">
      <c r="A430" s="134"/>
      <c r="B430" s="134"/>
      <c r="C430" s="134"/>
      <c r="D430" s="219">
        <f t="shared" si="63"/>
        <v>46052</v>
      </c>
      <c r="E430" s="227" t="str">
        <f>$P$1</f>
        <v>Weston</v>
      </c>
      <c r="F430" s="220">
        <f>IFERROR(AVERAGE(Rankings!$K430:$R430), "TBD")</f>
        <v>5.142857143</v>
      </c>
      <c r="G430" s="220">
        <f>IFERROR(_xlfn.STDEV.P(Rankings!$K430:$R430), "TBD")</f>
        <v>1.245399698</v>
      </c>
      <c r="H430" s="221">
        <f>IFERROR(AVERAGE(Rankings!$K430:$O430, Rankings!$Q430:$R430), "TBD")</f>
        <v>5.5</v>
      </c>
      <c r="I430" s="222" t="s">
        <v>1195</v>
      </c>
      <c r="J430" s="222" t="s">
        <v>1196</v>
      </c>
      <c r="K430" s="143">
        <v>6.0</v>
      </c>
      <c r="L430" s="144">
        <v>6.0</v>
      </c>
      <c r="M430" s="144">
        <v>5.0</v>
      </c>
      <c r="N430" s="144">
        <v>7.0</v>
      </c>
      <c r="O430" s="144">
        <v>4.0</v>
      </c>
      <c r="P430" s="144">
        <v>3.0</v>
      </c>
      <c r="Q430" s="447">
        <v>5.0</v>
      </c>
      <c r="R430" s="448"/>
      <c r="S430" s="405">
        <f>IF(SUM(Rankings!$K430:$R430)&gt;0, COUNTIFS(Rankings!$D$2:$D$987, Rankings!$D429, Rankings!$F$2:$F$987, "&lt;"&amp;Rankings!$F430) + COUNTIFS(Rankings!$D$2:$D$987, Rankings!$D429, Rankings!$F$2:$F$987, Rankings!$F430, Rankings!$H$2:$H$987, "&lt;"&amp;Rankings!$H430)+1, "TBD")</f>
        <v>7</v>
      </c>
      <c r="T430" s="449">
        <v>1.0</v>
      </c>
      <c r="U430" s="225" t="b">
        <f>Rankings!$S430=Rankings!$T430</f>
        <v>0</v>
      </c>
      <c r="V430" s="260"/>
      <c r="W430" s="153"/>
    </row>
    <row r="431" ht="15.0" customHeight="1">
      <c r="A431" s="189"/>
      <c r="B431" s="189"/>
      <c r="C431" s="189"/>
      <c r="D431" s="219">
        <f t="shared" si="63"/>
        <v>46052</v>
      </c>
      <c r="E431" s="131" t="str">
        <f>$Q$1</f>
        <v>Flocco</v>
      </c>
      <c r="F431" s="220">
        <f>IFERROR(AVERAGE(Rankings!$K431:$R431), "TBD")</f>
        <v>3.285714286</v>
      </c>
      <c r="G431" s="220">
        <f>IFERROR(_xlfn.STDEV.P(Rankings!$K431:$R431), "TBD")</f>
        <v>1.665986256</v>
      </c>
      <c r="H431" s="221">
        <f>IFERROR(AVERAGE(Rankings!$K431:$P431, Rankings!$R431), "TBD")</f>
        <v>3.666666667</v>
      </c>
      <c r="I431" s="222" t="s">
        <v>419</v>
      </c>
      <c r="J431" s="222" t="s">
        <v>1197</v>
      </c>
      <c r="K431" s="143">
        <v>4.0</v>
      </c>
      <c r="L431" s="144">
        <v>5.0</v>
      </c>
      <c r="M431" s="144">
        <v>6.0</v>
      </c>
      <c r="N431" s="144">
        <v>3.0</v>
      </c>
      <c r="O431" s="144">
        <v>2.0</v>
      </c>
      <c r="P431" s="144">
        <v>2.0</v>
      </c>
      <c r="Q431" s="447">
        <v>1.0</v>
      </c>
      <c r="R431" s="448"/>
      <c r="S431" s="405">
        <f>IF(SUM(Rankings!$K431:$R431)&gt;0, COUNTIFS(Rankings!$D$2:$D$987, Rankings!$D430, Rankings!$F$2:$F$987, "&lt;"&amp;Rankings!$F431) + COUNTIFS(Rankings!$D$2:$D$987, Rankings!$D430, Rankings!$F$2:$F$987, Rankings!$F431, Rankings!$H$2:$H$987, "&lt;"&amp;Rankings!$H431)+1, "TBD")</f>
        <v>1</v>
      </c>
      <c r="T431" s="449">
        <v>1.0</v>
      </c>
      <c r="U431" s="225" t="b">
        <f>Rankings!$S431=Rankings!$T431</f>
        <v>1</v>
      </c>
      <c r="V431" s="451"/>
      <c r="W431" s="208"/>
    </row>
    <row r="432" ht="15.0" customHeight="1">
      <c r="A432" s="103">
        <v>46055.0</v>
      </c>
      <c r="B432" s="104"/>
      <c r="C432" s="104" t="str">
        <f t="array" ref="C432">INDEX(Rankings!$E432:$E438, MATCH(1, (Rankings!$D432:$D438=$A432)*(Rankings!$U432:$U438=TRUE()), 0))</f>
        <v>Parker</v>
      </c>
      <c r="D432" s="111">
        <f>A432</f>
        <v>46055</v>
      </c>
      <c r="E432" s="113" t="str">
        <f>$K$1</f>
        <v>Logan</v>
      </c>
      <c r="F432" s="115">
        <f>IFERROR(AVERAGE(Rankings!$K432:$R432), "TBD")</f>
        <v>3.285714286</v>
      </c>
      <c r="G432" s="115">
        <f>IFERROR(_xlfn.STDEV.P(Rankings!$K432:$R432), "TBD")</f>
        <v>1.484614978</v>
      </c>
      <c r="H432" s="117">
        <f>IFERROR(AVERAGE(Rankings!$L432:$R432), "TBD")</f>
        <v>3.666666667</v>
      </c>
      <c r="I432" s="119" t="s">
        <v>1198</v>
      </c>
      <c r="J432" s="119" t="s">
        <v>1199</v>
      </c>
      <c r="K432" s="120">
        <v>1.0</v>
      </c>
      <c r="L432" s="121">
        <v>4.0</v>
      </c>
      <c r="M432" s="121">
        <v>5.0</v>
      </c>
      <c r="N432" s="121">
        <v>4.0</v>
      </c>
      <c r="O432" s="121">
        <v>2.0</v>
      </c>
      <c r="P432" s="121">
        <v>2.0</v>
      </c>
      <c r="Q432" s="445">
        <v>5.0</v>
      </c>
      <c r="R432" s="446"/>
      <c r="S432" s="401">
        <f>IF(ISTEXT($V432), "TBD", RANK(V432,$V432:$V438))</f>
        <v>2</v>
      </c>
      <c r="T432" s="217">
        <v>1.0</v>
      </c>
      <c r="U432" s="217" t="b">
        <f>Rankings!$S432=Rankings!$T432</f>
        <v>0</v>
      </c>
      <c r="V432" s="443">
        <f>IF(ISTEXT(Rankings!F432), "TBD", (RANK($F432,$F432:$F438) + IF(ISTEXT($H432), 0, (RANK($H432,$H432:$H438)/10)) + (RANK($G432,$G432:$G438)/100)))</f>
        <v>6.56</v>
      </c>
      <c r="W432" s="259"/>
    </row>
    <row r="433" ht="15.0" customHeight="1">
      <c r="A433" s="134"/>
      <c r="B433" s="134"/>
      <c r="C433" s="134"/>
      <c r="D433" s="219">
        <f>D432</f>
        <v>46055</v>
      </c>
      <c r="E433" s="138" t="str">
        <f>$L$1</f>
        <v>Parker</v>
      </c>
      <c r="F433" s="220">
        <f>IFERROR(AVERAGE(Rankings!$K433:$R433), "TBD")</f>
        <v>2.142857143</v>
      </c>
      <c r="G433" s="220">
        <f>IFERROR(_xlfn.STDEV.P(Rankings!$K433:$R433), "TBD")</f>
        <v>1.551825784</v>
      </c>
      <c r="H433" s="221">
        <f>IFERROR(AVERAGE(Rankings!$K433, Rankings!$M433:$R433), "TBD")</f>
        <v>2.333333333</v>
      </c>
      <c r="I433" s="222" t="s">
        <v>425</v>
      </c>
      <c r="J433" s="222" t="s">
        <v>836</v>
      </c>
      <c r="K433" s="143">
        <v>5.0</v>
      </c>
      <c r="L433" s="144">
        <v>1.0</v>
      </c>
      <c r="M433" s="144">
        <v>1.0</v>
      </c>
      <c r="N433" s="144">
        <v>2.0</v>
      </c>
      <c r="O433" s="144">
        <v>1.0</v>
      </c>
      <c r="P433" s="144">
        <v>1.0</v>
      </c>
      <c r="Q433" s="447">
        <v>4.0</v>
      </c>
      <c r="R433" s="448"/>
      <c r="S433" s="405">
        <f>IF(ISTEXT($V433), "TBD", RANK(V433,$V432:$V438))</f>
        <v>1</v>
      </c>
      <c r="T433" s="225">
        <v>1.0</v>
      </c>
      <c r="U433" s="225" t="b">
        <f>Rankings!$S433=Rankings!$T433</f>
        <v>1</v>
      </c>
      <c r="V433" s="443">
        <f>IF(ISTEXT(Rankings!F433), "TBD", (RANK($F433,$F432:$F438) + IF(ISTEXT($H433), 0, (RANK($H433,$H432:$H438)/10)) + (RANK($G433,$G432:$G438)/100)))</f>
        <v>7.74</v>
      </c>
      <c r="W433" s="153"/>
    </row>
    <row r="434" ht="15.0" customHeight="1">
      <c r="A434" s="134"/>
      <c r="B434" s="134"/>
      <c r="C434" s="134"/>
      <c r="D434" s="219">
        <f>D432</f>
        <v>46055</v>
      </c>
      <c r="E434" s="227" t="str">
        <f>$M$1</f>
        <v>Giacomo</v>
      </c>
      <c r="F434" s="220">
        <f>IFERROR(AVERAGE(Rankings!$K434:$R434), "TBD")</f>
        <v>4.285714286</v>
      </c>
      <c r="G434" s="220">
        <f>IFERROR(_xlfn.STDEV.P(Rankings!$K434:$R434), "TBD")</f>
        <v>1.665986256</v>
      </c>
      <c r="H434" s="221">
        <f>IFERROR(AVERAGE(Rankings!$K434:$L434, Rankings!$N434:$R434), "TBD")</f>
        <v>4.333333333</v>
      </c>
      <c r="I434" s="222" t="s">
        <v>1200</v>
      </c>
      <c r="J434" s="222" t="s">
        <v>1201</v>
      </c>
      <c r="K434" s="143">
        <v>3.0</v>
      </c>
      <c r="L434" s="144">
        <v>6.0</v>
      </c>
      <c r="M434" s="144">
        <v>4.0</v>
      </c>
      <c r="N434" s="144">
        <v>1.0</v>
      </c>
      <c r="O434" s="144">
        <v>5.0</v>
      </c>
      <c r="P434" s="144">
        <v>5.0</v>
      </c>
      <c r="Q434" s="447">
        <v>6.0</v>
      </c>
      <c r="R434" s="448"/>
      <c r="S434" s="405">
        <f>IF(ISTEXT($V434), "TBD", RANK(V434,$V432:$V438))</f>
        <v>4</v>
      </c>
      <c r="T434" s="225">
        <v>1.0</v>
      </c>
      <c r="U434" s="225" t="b">
        <f>Rankings!$S434=Rankings!$T434</f>
        <v>0</v>
      </c>
      <c r="V434" s="443">
        <f>IF(ISTEXT(Rankings!F434), "TBD", (RANK($F434,$F432:$F438) + IF(ISTEXT($H434), 0, (RANK($H434,$H432:$H438)/10)) + (RANK($G434,$G432:$G438)/100)))</f>
        <v>4.43</v>
      </c>
      <c r="W434" s="153"/>
    </row>
    <row r="435" ht="15.0" customHeight="1">
      <c r="A435" s="134"/>
      <c r="B435" s="134"/>
      <c r="C435" s="134"/>
      <c r="D435" s="219">
        <f>D432</f>
        <v>46055</v>
      </c>
      <c r="E435" s="227" t="str">
        <f>$N$1</f>
        <v>Rosey</v>
      </c>
      <c r="F435" s="220">
        <f>IFERROR(AVERAGE(Rankings!$K435:$R435), "TBD")</f>
        <v>4.571428571</v>
      </c>
      <c r="G435" s="220">
        <f>IFERROR(_xlfn.STDEV.P(Rankings!$K435:$R435), "TBD")</f>
        <v>2.194613071</v>
      </c>
      <c r="H435" s="221">
        <f>IFERROR(AVERAGE(Rankings!$K435:$M435, Rankings!$O435:$R435), "TBD")</f>
        <v>4.833333333</v>
      </c>
      <c r="I435" s="222" t="s">
        <v>282</v>
      </c>
      <c r="J435" s="222" t="s">
        <v>1202</v>
      </c>
      <c r="K435" s="143">
        <v>2.0</v>
      </c>
      <c r="L435" s="144">
        <v>7.0</v>
      </c>
      <c r="M435" s="144">
        <v>7.0</v>
      </c>
      <c r="N435" s="144">
        <v>3.0</v>
      </c>
      <c r="O435" s="144">
        <v>7.0</v>
      </c>
      <c r="P435" s="144">
        <v>4.0</v>
      </c>
      <c r="Q435" s="447">
        <v>2.0</v>
      </c>
      <c r="R435" s="448"/>
      <c r="S435" s="405">
        <f>IF(ISTEXT($V435), "TBD", RANK(V435,$V432:$V438))</f>
        <v>5</v>
      </c>
      <c r="T435" s="225">
        <v>1.0</v>
      </c>
      <c r="U435" s="225" t="b">
        <f>Rankings!$S435=Rankings!$T435</f>
        <v>0</v>
      </c>
      <c r="V435" s="443">
        <f>IF(ISTEXT(Rankings!F435), "TBD", (RANK($F435,$F432:$F438) + IF(ISTEXT($H435), 0, (RANK($H435,$H432:$H438)/10)) + (RANK($G435,$G432:$G438)/100)))</f>
        <v>3.32</v>
      </c>
      <c r="W435" s="153"/>
    </row>
    <row r="436" ht="15.0" customHeight="1">
      <c r="A436" s="134"/>
      <c r="B436" s="134"/>
      <c r="C436" s="134"/>
      <c r="D436" s="219">
        <f t="shared" ref="D436:D438" si="64">D432</f>
        <v>46055</v>
      </c>
      <c r="E436" s="227" t="str">
        <f>$O$1</f>
        <v>TTAC</v>
      </c>
      <c r="F436" s="220">
        <f>IFERROR(AVERAGE(Rankings!$K436:$R436), "TBD")</f>
        <v>4.857142857</v>
      </c>
      <c r="G436" s="220">
        <f>IFERROR(_xlfn.STDEV.P(Rankings!$K436:$R436), "TBD")</f>
        <v>2.231499907</v>
      </c>
      <c r="H436" s="221">
        <f>IFERROR(AVERAGE(Rankings!$K436:$N436, Rankings!$P436:$R436), "TBD")</f>
        <v>5.166666667</v>
      </c>
      <c r="I436" s="222" t="s">
        <v>1203</v>
      </c>
      <c r="J436" s="222" t="s">
        <v>1204</v>
      </c>
      <c r="K436" s="143">
        <v>7.0</v>
      </c>
      <c r="L436" s="144">
        <v>2.0</v>
      </c>
      <c r="M436" s="144">
        <v>2.0</v>
      </c>
      <c r="N436" s="144">
        <v>6.0</v>
      </c>
      <c r="O436" s="144">
        <v>3.0</v>
      </c>
      <c r="P436" s="144">
        <v>7.0</v>
      </c>
      <c r="Q436" s="447">
        <v>7.0</v>
      </c>
      <c r="R436" s="448"/>
      <c r="S436" s="405">
        <f>IF(ISTEXT($V436), "TBD", RANK(V436,$V432:$V438))</f>
        <v>6</v>
      </c>
      <c r="T436" s="225">
        <v>1.0</v>
      </c>
      <c r="U436" s="225" t="b">
        <f>Rankings!$S436=Rankings!$T436</f>
        <v>0</v>
      </c>
      <c r="V436" s="443">
        <f>IF(ISTEXT(Rankings!F436), "TBD", (RANK($F436,$F432:$F438) + IF(ISTEXT($H436), 0, (RANK($H436,$H432:$H438)/10)) + (RANK($G436,$G432:$G438)/100)))</f>
        <v>2.21</v>
      </c>
      <c r="W436" s="153"/>
    </row>
    <row r="437" ht="15.0" customHeight="1">
      <c r="A437" s="134"/>
      <c r="B437" s="134"/>
      <c r="C437" s="134"/>
      <c r="D437" s="219">
        <f t="shared" si="64"/>
        <v>46055</v>
      </c>
      <c r="E437" s="227" t="str">
        <f>$P$1</f>
        <v>Weston</v>
      </c>
      <c r="F437" s="220">
        <f>IFERROR(AVERAGE(Rankings!$K437:$R437), "TBD")</f>
        <v>3.571428571</v>
      </c>
      <c r="G437" s="220">
        <f>IFERROR(_xlfn.STDEV.P(Rankings!$K437:$R437), "TBD")</f>
        <v>1.498298355</v>
      </c>
      <c r="H437" s="221">
        <f>IFERROR(AVERAGE(Rankings!$K437:$O437, Rankings!$Q437:$R437), "TBD")</f>
        <v>3.666666667</v>
      </c>
      <c r="I437" s="222" t="s">
        <v>1205</v>
      </c>
      <c r="J437" s="452">
        <v>0.02</v>
      </c>
      <c r="K437" s="143">
        <v>6.0</v>
      </c>
      <c r="L437" s="144">
        <v>3.0</v>
      </c>
      <c r="M437" s="144">
        <v>3.0</v>
      </c>
      <c r="N437" s="144">
        <v>5.0</v>
      </c>
      <c r="O437" s="144">
        <v>4.0</v>
      </c>
      <c r="P437" s="144">
        <v>3.0</v>
      </c>
      <c r="Q437" s="447">
        <v>1.0</v>
      </c>
      <c r="R437" s="448"/>
      <c r="S437" s="405">
        <f>IF(ISTEXT($V437), "TBD", RANK(V437,$V432:$V438))</f>
        <v>3</v>
      </c>
      <c r="T437" s="449">
        <v>1.0</v>
      </c>
      <c r="U437" s="225" t="b">
        <f>Rankings!$S437=Rankings!$T437</f>
        <v>0</v>
      </c>
      <c r="V437" s="443">
        <f>IF(ISTEXT(Rankings!F437), "TBD", (RANK($F437,$F432:$F438) + IF(ISTEXT($H437), 0, (RANK($H437,$H432:$H438)/10)) + (RANK($G437,$G432:$G438)/100)))</f>
        <v>5.55</v>
      </c>
      <c r="W437" s="153"/>
    </row>
    <row r="438" ht="15.0" customHeight="1">
      <c r="A438" s="189"/>
      <c r="B438" s="189"/>
      <c r="C438" s="189"/>
      <c r="D438" s="219">
        <f t="shared" si="64"/>
        <v>46055</v>
      </c>
      <c r="E438" s="131" t="str">
        <f>$Q$1</f>
        <v>Flocco</v>
      </c>
      <c r="F438" s="220">
        <f>IFERROR(AVERAGE(Rankings!$K438:$R438), "TBD")</f>
        <v>5.285714286</v>
      </c>
      <c r="G438" s="220">
        <f>IFERROR(_xlfn.STDEV.P(Rankings!$K438:$R438), "TBD")</f>
        <v>1.27775313</v>
      </c>
      <c r="H438" s="221">
        <f>IFERROR(AVERAGE(Rankings!$K438:$P438, Rankings!$R438), "TBD")</f>
        <v>5.666666667</v>
      </c>
      <c r="I438" s="222" t="s">
        <v>1206</v>
      </c>
      <c r="J438" s="222" t="s">
        <v>1207</v>
      </c>
      <c r="K438" s="143">
        <v>4.0</v>
      </c>
      <c r="L438" s="144">
        <v>5.0</v>
      </c>
      <c r="M438" s="144">
        <v>6.0</v>
      </c>
      <c r="N438" s="144">
        <v>7.0</v>
      </c>
      <c r="O438" s="144">
        <v>6.0</v>
      </c>
      <c r="P438" s="144">
        <v>6.0</v>
      </c>
      <c r="Q438" s="447">
        <v>3.0</v>
      </c>
      <c r="R438" s="448"/>
      <c r="S438" s="405">
        <f>IF(ISTEXT($V438), "TBD", RANK(V438,$V432:$V438))</f>
        <v>7</v>
      </c>
      <c r="T438" s="449">
        <v>1.0</v>
      </c>
      <c r="U438" s="225" t="b">
        <f>Rankings!$S438=Rankings!$T438</f>
        <v>0</v>
      </c>
      <c r="V438" s="443">
        <f>IF(ISTEXT(Rankings!F438), "TBD", (RANK($F438,$F432:$F438) + IF(ISTEXT($H438), 0, (RANK($H438,$H432:$H438)/10)) + (RANK($G438,$G432:$G438)/100)))</f>
        <v>1.17</v>
      </c>
      <c r="W438" s="208"/>
    </row>
    <row r="439" ht="15.0" customHeight="1">
      <c r="A439" s="103">
        <v>46057.0</v>
      </c>
      <c r="B439" s="104"/>
      <c r="C439" s="104" t="str">
        <f t="array" ref="C439">INDEX(Rankings!$E439:$E445, MATCH(1, (Rankings!$D439:$D445=$A439)*(Rankings!$U439:$U445=TRUE()), 0))</f>
        <v>Weston</v>
      </c>
      <c r="D439" s="111">
        <f>A439</f>
        <v>46057</v>
      </c>
      <c r="E439" s="113" t="str">
        <f>$K$1</f>
        <v>Logan</v>
      </c>
      <c r="F439" s="115">
        <f>IFERROR(AVERAGE(Rankings!$K439:$R439), "TBD")</f>
        <v>5.714285714</v>
      </c>
      <c r="G439" s="115">
        <f>IFERROR(_xlfn.STDEV.P(Rankings!$K439:$R439), "TBD")</f>
        <v>1.829464068</v>
      </c>
      <c r="H439" s="117">
        <f>IFERROR(AVERAGE(Rankings!$L439:$R439), "TBD")</f>
        <v>6.333333333</v>
      </c>
      <c r="I439" s="119" t="s">
        <v>1208</v>
      </c>
      <c r="J439" s="119" t="s">
        <v>1209</v>
      </c>
      <c r="K439" s="120">
        <v>2.0</v>
      </c>
      <c r="L439" s="121">
        <v>7.0</v>
      </c>
      <c r="M439" s="121">
        <v>6.0</v>
      </c>
      <c r="N439" s="121">
        <v>4.0</v>
      </c>
      <c r="O439" s="121">
        <v>7.0</v>
      </c>
      <c r="P439" s="121">
        <v>7.0</v>
      </c>
      <c r="Q439" s="445">
        <v>7.0</v>
      </c>
      <c r="R439" s="446"/>
      <c r="S439" s="401">
        <f>IF(ISTEXT($V439), "TBD", RANK(V439,$V439:$V445))</f>
        <v>7</v>
      </c>
      <c r="T439" s="217">
        <v>1.0</v>
      </c>
      <c r="U439" s="217" t="b">
        <f>Rankings!$S439=Rankings!$T439</f>
        <v>0</v>
      </c>
      <c r="V439" s="443">
        <f>IF(ISTEXT(Rankings!F439), "TBD", (RANK($F439,$F439:$F445) + IF(ISTEXT($H439), 0, (RANK($H439,$H439:$H445)/10)) + (RANK($G439,$G439:$G445)/100)))</f>
        <v>1.11</v>
      </c>
      <c r="W439" s="259"/>
    </row>
    <row r="440" ht="15.0" customHeight="1">
      <c r="A440" s="134"/>
      <c r="B440" s="134"/>
      <c r="C440" s="134"/>
      <c r="D440" s="219">
        <f>D439</f>
        <v>46057</v>
      </c>
      <c r="E440" s="138" t="str">
        <f>$L$1</f>
        <v>Parker</v>
      </c>
      <c r="F440" s="220">
        <f>IFERROR(AVERAGE(Rankings!$K440:$R440), "TBD")</f>
        <v>5</v>
      </c>
      <c r="G440" s="220">
        <f>IFERROR(_xlfn.STDEV.P(Rankings!$K440:$R440), "TBD")</f>
        <v>1.195228609</v>
      </c>
      <c r="H440" s="221">
        <f>IFERROR(AVERAGE(Rankings!$K440, Rankings!$M440:$R440), "TBD")</f>
        <v>5.166666667</v>
      </c>
      <c r="I440" s="222" t="s">
        <v>1210</v>
      </c>
      <c r="J440" s="222" t="s">
        <v>1211</v>
      </c>
      <c r="K440" s="143">
        <v>3.0</v>
      </c>
      <c r="L440" s="144">
        <v>4.0</v>
      </c>
      <c r="M440" s="144">
        <v>4.0</v>
      </c>
      <c r="N440" s="144">
        <v>6.0</v>
      </c>
      <c r="O440" s="144">
        <v>6.0</v>
      </c>
      <c r="P440" s="144">
        <v>6.0</v>
      </c>
      <c r="Q440" s="447">
        <v>6.0</v>
      </c>
      <c r="R440" s="448"/>
      <c r="S440" s="405">
        <f>IF(ISTEXT($V440), "TBD", RANK(V440,$V439:$V445))</f>
        <v>5</v>
      </c>
      <c r="T440" s="225">
        <v>1.0</v>
      </c>
      <c r="U440" s="225" t="b">
        <f>Rankings!$S440=Rankings!$T440</f>
        <v>0</v>
      </c>
      <c r="V440" s="443">
        <f>IF(ISTEXT(Rankings!F440), "TBD", (RANK($F440,$F439:$F445) + IF(ISTEXT($H440), 0, (RANK($H440,$H439:$H445)/10)) + (RANK($G440,$G439:$G445)/100)))</f>
        <v>3.35</v>
      </c>
      <c r="W440" s="153"/>
    </row>
    <row r="441" ht="15.0" customHeight="1">
      <c r="A441" s="134"/>
      <c r="B441" s="134"/>
      <c r="C441" s="134"/>
      <c r="D441" s="219">
        <f>D439</f>
        <v>46057</v>
      </c>
      <c r="E441" s="227" t="str">
        <f>$M$1</f>
        <v>Giacomo</v>
      </c>
      <c r="F441" s="220">
        <f>IFERROR(AVERAGE(Rankings!$K441:$R441), "TBD")</f>
        <v>2.142857143</v>
      </c>
      <c r="G441" s="220">
        <f>IFERROR(_xlfn.STDEV.P(Rankings!$K441:$R441), "TBD")</f>
        <v>0.9897433186</v>
      </c>
      <c r="H441" s="221">
        <f>IFERROR(AVERAGE(Rankings!$K441:$L441, Rankings!$N441:$R441), "TBD")</f>
        <v>2.333333333</v>
      </c>
      <c r="I441" s="222" t="s">
        <v>1212</v>
      </c>
      <c r="J441" s="222" t="s">
        <v>493</v>
      </c>
      <c r="K441" s="143">
        <v>1.0</v>
      </c>
      <c r="L441" s="144">
        <v>2.0</v>
      </c>
      <c r="M441" s="144">
        <v>1.0</v>
      </c>
      <c r="N441" s="144">
        <v>2.0</v>
      </c>
      <c r="O441" s="144">
        <v>2.0</v>
      </c>
      <c r="P441" s="144">
        <v>3.0</v>
      </c>
      <c r="Q441" s="447">
        <v>4.0</v>
      </c>
      <c r="R441" s="448"/>
      <c r="S441" s="405">
        <f>IF(ISTEXT($V441), "TBD", RANK(V441,$V439:$V445))</f>
        <v>2</v>
      </c>
      <c r="T441" s="225">
        <v>1.0</v>
      </c>
      <c r="U441" s="225" t="b">
        <f>Rankings!$S441=Rankings!$T441</f>
        <v>0</v>
      </c>
      <c r="V441" s="443">
        <f>IF(ISTEXT(Rankings!F441), "TBD", (RANK($F441,$F439:$F445) + IF(ISTEXT($H441), 0, (RANK($H441,$H439:$H445)/10)) + (RANK($G441,$G439:$G445)/100)))</f>
        <v>6.67</v>
      </c>
      <c r="W441" s="153"/>
    </row>
    <row r="442" ht="15.0" customHeight="1">
      <c r="A442" s="134"/>
      <c r="B442" s="134"/>
      <c r="C442" s="134"/>
      <c r="D442" s="219">
        <f>D439</f>
        <v>46057</v>
      </c>
      <c r="E442" s="227" t="str">
        <f>$N$1</f>
        <v>Rosey</v>
      </c>
      <c r="F442" s="220">
        <f>IFERROR(AVERAGE(Rankings!$K442:$R442), "TBD")</f>
        <v>4.285714286</v>
      </c>
      <c r="G442" s="220">
        <f>IFERROR(_xlfn.STDEV.P(Rankings!$K442:$R442), "TBD")</f>
        <v>1.385051388</v>
      </c>
      <c r="H442" s="221">
        <f>IFERROR(AVERAGE(Rankings!$K442:$M442, Rankings!$O442:$R442), "TBD")</f>
        <v>4.5</v>
      </c>
      <c r="I442" s="222" t="s">
        <v>1213</v>
      </c>
      <c r="J442" s="222" t="s">
        <v>1214</v>
      </c>
      <c r="K442" s="143">
        <v>7.0</v>
      </c>
      <c r="L442" s="144">
        <v>5.0</v>
      </c>
      <c r="M442" s="144">
        <v>5.0</v>
      </c>
      <c r="N442" s="144">
        <v>3.0</v>
      </c>
      <c r="O442" s="144">
        <v>3.0</v>
      </c>
      <c r="P442" s="144">
        <v>4.0</v>
      </c>
      <c r="Q442" s="447">
        <v>3.0</v>
      </c>
      <c r="R442" s="448"/>
      <c r="S442" s="405">
        <f>IF(ISTEXT($V442), "TBD", RANK(V442,$V439:$V445))</f>
        <v>4</v>
      </c>
      <c r="T442" s="225">
        <v>1.0</v>
      </c>
      <c r="U442" s="225" t="b">
        <f>Rankings!$S442=Rankings!$T442</f>
        <v>0</v>
      </c>
      <c r="V442" s="443">
        <f>IF(ISTEXT(Rankings!F442), "TBD", (RANK($F442,$F439:$F445) + IF(ISTEXT($H442), 0, (RANK($H442,$H439:$H445)/10)) + (RANK($G442,$G439:$G445)/100)))</f>
        <v>4.42</v>
      </c>
      <c r="W442" s="153"/>
    </row>
    <row r="443" ht="15.0" customHeight="1">
      <c r="A443" s="134"/>
      <c r="B443" s="134"/>
      <c r="C443" s="134"/>
      <c r="D443" s="219">
        <f t="shared" ref="D443:D445" si="65">D439</f>
        <v>46057</v>
      </c>
      <c r="E443" s="227" t="str">
        <f>$O$1</f>
        <v>TTAC</v>
      </c>
      <c r="F443" s="220">
        <f>IFERROR(AVERAGE(Rankings!$K443:$R443), "TBD")</f>
        <v>5.714285714</v>
      </c>
      <c r="G443" s="220">
        <f>IFERROR(_xlfn.STDEV.P(Rankings!$K443:$R443), "TBD")</f>
        <v>1.030157507</v>
      </c>
      <c r="H443" s="221">
        <f>IFERROR(AVERAGE(Rankings!$K443:$N443, Rankings!$P443:$Q443), "TBD")</f>
        <v>6</v>
      </c>
      <c r="I443" s="222" t="s">
        <v>1215</v>
      </c>
      <c r="J443" s="222" t="s">
        <v>1216</v>
      </c>
      <c r="K443" s="143">
        <v>6.0</v>
      </c>
      <c r="L443" s="144">
        <v>6.0</v>
      </c>
      <c r="M443" s="144">
        <v>7.0</v>
      </c>
      <c r="N443" s="144">
        <v>7.0</v>
      </c>
      <c r="O443" s="144">
        <v>4.0</v>
      </c>
      <c r="P443" s="144">
        <v>5.0</v>
      </c>
      <c r="Q443" s="447">
        <v>5.0</v>
      </c>
      <c r="R443" s="448"/>
      <c r="S443" s="405">
        <f>IF(ISTEXT($V443), "TBD", RANK(V443,$V439:$V445))</f>
        <v>6</v>
      </c>
      <c r="T443" s="225">
        <v>1.0</v>
      </c>
      <c r="U443" s="225" t="b">
        <f>Rankings!$S443=Rankings!$T443</f>
        <v>0</v>
      </c>
      <c r="V443" s="443">
        <f>IF(ISTEXT(Rankings!F443), "TBD", (RANK($F443,$F439:$F445) + IF(ISTEXT($H443), 0, (RANK($H443,$H439:$H445)/10)) + (RANK($G443,$G439:$G445)/100)))</f>
        <v>1.26</v>
      </c>
      <c r="W443" s="153"/>
    </row>
    <row r="444" ht="15.0" customHeight="1">
      <c r="A444" s="134"/>
      <c r="B444" s="134"/>
      <c r="C444" s="134"/>
      <c r="D444" s="219">
        <f t="shared" si="65"/>
        <v>46057</v>
      </c>
      <c r="E444" s="227" t="str">
        <f>$P$1</f>
        <v>Weston</v>
      </c>
      <c r="F444" s="220">
        <f>IFERROR(AVERAGE(Rankings!$K444:$R444), "TBD")</f>
        <v>1.857142857</v>
      </c>
      <c r="G444" s="220">
        <f>IFERROR(_xlfn.STDEV.P(Rankings!$K444:$R444), "TBD")</f>
        <v>1.355261854</v>
      </c>
      <c r="H444" s="221">
        <f>IFERROR(AVERAGE(Rankings!$K444:$O444, Rankings!$Q444), "TBD")</f>
        <v>2</v>
      </c>
      <c r="I444" s="222" t="s">
        <v>429</v>
      </c>
      <c r="J444" s="222" t="s">
        <v>1217</v>
      </c>
      <c r="K444" s="143">
        <v>5.0</v>
      </c>
      <c r="L444" s="144">
        <v>1.0</v>
      </c>
      <c r="M444" s="144">
        <v>2.0</v>
      </c>
      <c r="N444" s="144">
        <v>1.0</v>
      </c>
      <c r="O444" s="144">
        <v>1.0</v>
      </c>
      <c r="P444" s="144">
        <v>1.0</v>
      </c>
      <c r="Q444" s="447">
        <v>2.0</v>
      </c>
      <c r="R444" s="448"/>
      <c r="S444" s="405">
        <f>IF(ISTEXT($V444), "TBD", RANK(V444,$V439:$V445))</f>
        <v>1</v>
      </c>
      <c r="T444" s="449">
        <v>1.0</v>
      </c>
      <c r="U444" s="225" t="b">
        <f>Rankings!$S444=Rankings!$T444</f>
        <v>1</v>
      </c>
      <c r="V444" s="443">
        <f>IF(ISTEXT(Rankings!F444), "TBD", (RANK($F444,$F439:$F445) + IF(ISTEXT($H444), 0, (RANK($H444,$H439:$H445)/10)) + (RANK($G444,$G439:$G445)/100)))</f>
        <v>7.74</v>
      </c>
      <c r="W444" s="153"/>
    </row>
    <row r="445" ht="15.0" customHeight="1">
      <c r="A445" s="189"/>
      <c r="B445" s="189"/>
      <c r="C445" s="189"/>
      <c r="D445" s="219">
        <f t="shared" si="65"/>
        <v>46057</v>
      </c>
      <c r="E445" s="131" t="str">
        <f>$Q$1</f>
        <v>Flocco</v>
      </c>
      <c r="F445" s="220">
        <f>IFERROR(AVERAGE(Rankings!$K445:$R445), "TBD")</f>
        <v>3.285714286</v>
      </c>
      <c r="G445" s="220">
        <f>IFERROR(_xlfn.STDEV.P(Rankings!$K445:$R445), "TBD")</f>
        <v>1.385051388</v>
      </c>
      <c r="H445" s="221">
        <f>IFERROR(AVERAGE(Rankings!$K445:$P445), "TBD")</f>
        <v>3.666666667</v>
      </c>
      <c r="I445" s="222" t="s">
        <v>1218</v>
      </c>
      <c r="J445" s="222" t="s">
        <v>1219</v>
      </c>
      <c r="K445" s="143">
        <v>4.0</v>
      </c>
      <c r="L445" s="144">
        <v>3.0</v>
      </c>
      <c r="M445" s="144">
        <v>3.0</v>
      </c>
      <c r="N445" s="144">
        <v>5.0</v>
      </c>
      <c r="O445" s="144">
        <v>5.0</v>
      </c>
      <c r="P445" s="144">
        <v>2.0</v>
      </c>
      <c r="Q445" s="447">
        <v>1.0</v>
      </c>
      <c r="R445" s="448"/>
      <c r="S445" s="405">
        <f>IF(ISTEXT($V445), "TBD", RANK(V445,$V439:$V445))</f>
        <v>3</v>
      </c>
      <c r="T445" s="449">
        <v>1.0</v>
      </c>
      <c r="U445" s="225" t="b">
        <f>Rankings!$S445=Rankings!$T445</f>
        <v>0</v>
      </c>
      <c r="V445" s="443">
        <f>IF(ISTEXT(Rankings!F445), "TBD", (RANK($F445,$F439:$F445) + IF(ISTEXT($H445), 0, (RANK($H445,$H439:$H445)/10)) + (RANK($G445,$G439:$G445)/100)))</f>
        <v>5.53</v>
      </c>
      <c r="W445" s="208"/>
    </row>
    <row r="446" ht="15.0" customHeight="1">
      <c r="A446" s="103">
        <v>46059.0</v>
      </c>
      <c r="B446" s="104"/>
      <c r="C446" s="104" t="str">
        <f t="array" ref="C446">INDEX(Rankings!$E446:$E452, MATCH(1, (Rankings!$D446:$D452=$A446)*(Rankings!$U446:$U452=TRUE()), 0))</f>
        <v>Weston</v>
      </c>
      <c r="D446" s="111">
        <f>A446</f>
        <v>46059</v>
      </c>
      <c r="E446" s="113" t="str">
        <f>$K$1</f>
        <v>Logan</v>
      </c>
      <c r="F446" s="115">
        <f>IFERROR(AVERAGE(Rankings!$K446:$R446), "TBD")</f>
        <v>3.142857143</v>
      </c>
      <c r="G446" s="115">
        <f>IFERROR(_xlfn.STDEV.P(Rankings!$K446:$R446), "TBD")</f>
        <v>2.030381486</v>
      </c>
      <c r="H446" s="117">
        <f>IFERROR(AVERAGE(Rankings!$L446:$R446), "TBD")</f>
        <v>3.333333333</v>
      </c>
      <c r="I446" s="119" t="s">
        <v>1220</v>
      </c>
      <c r="J446" s="119" t="s">
        <v>1221</v>
      </c>
      <c r="K446" s="120">
        <v>2.0</v>
      </c>
      <c r="L446" s="121">
        <v>1.0</v>
      </c>
      <c r="M446" s="121">
        <v>4.0</v>
      </c>
      <c r="N446" s="121">
        <v>6.0</v>
      </c>
      <c r="O446" s="121">
        <v>1.0</v>
      </c>
      <c r="P446" s="121">
        <v>6.0</v>
      </c>
      <c r="Q446" s="445">
        <v>2.0</v>
      </c>
      <c r="R446" s="446"/>
      <c r="S446" s="401">
        <f>IF(ISTEXT($V446), "TBD", RANK(V446,$V446:$V452))</f>
        <v>2</v>
      </c>
      <c r="T446" s="217">
        <v>1.0</v>
      </c>
      <c r="U446" s="217" t="b">
        <f>Rankings!$S446=Rankings!$T446</f>
        <v>0</v>
      </c>
      <c r="V446" s="443">
        <f>IF(ISTEXT(Rankings!F446), "TBD", (RANK($F446,$F446:$F452) + IF(ISTEXT($H446), 0, (RANK($H446,$H446:$H452)/10)) + (RANK($G446,$G446:$G452)/100)))</f>
        <v>6.61</v>
      </c>
      <c r="W446" s="259" t="s">
        <v>1222</v>
      </c>
    </row>
    <row r="447" ht="15.0" customHeight="1">
      <c r="A447" s="134"/>
      <c r="B447" s="134"/>
      <c r="C447" s="134"/>
      <c r="D447" s="219">
        <f>D446</f>
        <v>46059</v>
      </c>
      <c r="E447" s="138" t="str">
        <f>$L$1</f>
        <v>Parker</v>
      </c>
      <c r="F447" s="220">
        <f>IFERROR(AVERAGE(Rankings!$K447:$R447), "TBD")</f>
        <v>3.714285714</v>
      </c>
      <c r="G447" s="220">
        <f>IFERROR(_xlfn.STDEV.P(Rankings!$K447:$R447), "TBD")</f>
        <v>1.749635531</v>
      </c>
      <c r="H447" s="221">
        <f>IFERROR(AVERAGE(Rankings!$K447, Rankings!$M447:$R447), "TBD")</f>
        <v>3.666666667</v>
      </c>
      <c r="I447" s="222" t="s">
        <v>1223</v>
      </c>
      <c r="J447" s="222" t="s">
        <v>1224</v>
      </c>
      <c r="K447" s="143">
        <v>6.0</v>
      </c>
      <c r="L447" s="144">
        <v>4.0</v>
      </c>
      <c r="M447" s="144">
        <v>1.0</v>
      </c>
      <c r="N447" s="144">
        <v>3.0</v>
      </c>
      <c r="O447" s="144">
        <v>4.0</v>
      </c>
      <c r="P447" s="144">
        <v>2.0</v>
      </c>
      <c r="Q447" s="447">
        <v>6.0</v>
      </c>
      <c r="R447" s="448"/>
      <c r="S447" s="405">
        <f>IF(ISTEXT($V447), "TBD", RANK(V447,$V446:$V452))</f>
        <v>4</v>
      </c>
      <c r="T447" s="225">
        <v>1.0</v>
      </c>
      <c r="U447" s="225" t="b">
        <f>Rankings!$S447=Rankings!$T447</f>
        <v>0</v>
      </c>
      <c r="V447" s="443">
        <f>IF(ISTEXT(Rankings!F447), "TBD", (RANK($F447,$F446:$F452) + IF(ISTEXT($H447), 0, (RANK($H447,$H446:$H452)/10)) + (RANK($G447,$G446:$G452)/100)))</f>
        <v>4.54</v>
      </c>
      <c r="W447" s="153"/>
    </row>
    <row r="448" ht="15.0" customHeight="1">
      <c r="A448" s="134"/>
      <c r="B448" s="134"/>
      <c r="C448" s="134"/>
      <c r="D448" s="219">
        <f>D446</f>
        <v>46059</v>
      </c>
      <c r="E448" s="227" t="str">
        <f>$M$1</f>
        <v>Giacomo</v>
      </c>
      <c r="F448" s="220">
        <f>IFERROR(AVERAGE(Rankings!$K448:$R448), "TBD")</f>
        <v>5.142857143</v>
      </c>
      <c r="G448" s="220">
        <f>IFERROR(_xlfn.STDEV.P(Rankings!$K448:$R448), "TBD")</f>
        <v>1.726149425</v>
      </c>
      <c r="H448" s="221">
        <f>IFERROR(AVERAGE(Rankings!$K448:$L448, Rankings!$N448:$R448), "TBD")</f>
        <v>5.5</v>
      </c>
      <c r="I448" s="222" t="s">
        <v>1225</v>
      </c>
      <c r="J448" s="222" t="s">
        <v>712</v>
      </c>
      <c r="K448" s="143">
        <v>7.0</v>
      </c>
      <c r="L448" s="144">
        <v>3.0</v>
      </c>
      <c r="M448" s="144">
        <v>3.0</v>
      </c>
      <c r="N448" s="144">
        <v>5.0</v>
      </c>
      <c r="O448" s="144">
        <v>7.0</v>
      </c>
      <c r="P448" s="144">
        <v>4.0</v>
      </c>
      <c r="Q448" s="447">
        <v>7.0</v>
      </c>
      <c r="R448" s="448"/>
      <c r="S448" s="405">
        <f>IF(ISTEXT($V448), "TBD", RANK(V448,$V446:$V452))</f>
        <v>6</v>
      </c>
      <c r="T448" s="225">
        <v>1.0</v>
      </c>
      <c r="U448" s="225" t="b">
        <f>Rankings!$S448=Rankings!$T448</f>
        <v>0</v>
      </c>
      <c r="V448" s="443">
        <f>IF(ISTEXT(Rankings!F448), "TBD", (RANK($F448,$F446:$F452) + IF(ISTEXT($H448), 0, (RANK($H448,$H446:$H452)/10)) + (RANK($G448,$G446:$G452)/100)))</f>
        <v>1.15</v>
      </c>
      <c r="W448" s="153"/>
    </row>
    <row r="449" ht="15.0" customHeight="1">
      <c r="A449" s="134"/>
      <c r="B449" s="134"/>
      <c r="C449" s="134"/>
      <c r="D449" s="219">
        <f>D446</f>
        <v>46059</v>
      </c>
      <c r="E449" s="227" t="str">
        <f>$N$1</f>
        <v>Rosey</v>
      </c>
      <c r="F449" s="220">
        <f>IFERROR(AVERAGE(Rankings!$K449:$R449), "TBD")</f>
        <v>4.142857143</v>
      </c>
      <c r="G449" s="220">
        <f>IFERROR(_xlfn.STDEV.P(Rankings!$K449:$R449), "TBD")</f>
        <v>2.030381486</v>
      </c>
      <c r="H449" s="221">
        <f>IFERROR(AVERAGE(Rankings!$K449:$M449, Rankings!$O449:$R449), "TBD")</f>
        <v>4.666666667</v>
      </c>
      <c r="I449" s="222" t="s">
        <v>1226</v>
      </c>
      <c r="J449" s="222" t="s">
        <v>1227</v>
      </c>
      <c r="K449" s="143">
        <v>1.0</v>
      </c>
      <c r="L449" s="144">
        <v>6.0</v>
      </c>
      <c r="M449" s="144">
        <v>6.0</v>
      </c>
      <c r="N449" s="144">
        <v>1.0</v>
      </c>
      <c r="O449" s="144">
        <v>5.0</v>
      </c>
      <c r="P449" s="144">
        <v>5.0</v>
      </c>
      <c r="Q449" s="447">
        <v>5.0</v>
      </c>
      <c r="R449" s="448"/>
      <c r="S449" s="405">
        <f>IF(ISTEXT($V449), "TBD", RANK(V449,$V446:$V452))</f>
        <v>5</v>
      </c>
      <c r="T449" s="225">
        <v>1.0</v>
      </c>
      <c r="U449" s="225" t="b">
        <f>Rankings!$S449=Rankings!$T449</f>
        <v>0</v>
      </c>
      <c r="V449" s="443">
        <f>IF(ISTEXT(Rankings!F449), "TBD", (RANK($F449,$F446:$F452) + IF(ISTEXT($H449), 0, (RANK($H449,$H446:$H452)/10)) + (RANK($G449,$G446:$G452)/100)))</f>
        <v>3.31</v>
      </c>
      <c r="W449" s="153"/>
    </row>
    <row r="450" ht="15.0" customHeight="1">
      <c r="A450" s="134"/>
      <c r="B450" s="134"/>
      <c r="C450" s="134"/>
      <c r="D450" s="219">
        <f t="shared" ref="D450:D452" si="66">D446</f>
        <v>46059</v>
      </c>
      <c r="E450" s="227" t="str">
        <f>$O$1</f>
        <v>TTAC</v>
      </c>
      <c r="F450" s="220">
        <f>IFERROR(AVERAGE(Rankings!$K450:$R450), "TBD")</f>
        <v>3.571428571</v>
      </c>
      <c r="G450" s="220">
        <f>IFERROR(_xlfn.STDEV.P(Rankings!$K450:$R450), "TBD")</f>
        <v>1.840585532</v>
      </c>
      <c r="H450" s="221">
        <f>IFERROR(AVERAGE(Rankings!$K450:$N450, Rankings!$P450:$R450), "TBD")</f>
        <v>3.833333333</v>
      </c>
      <c r="I450" s="222" t="s">
        <v>1228</v>
      </c>
      <c r="J450" s="222" t="s">
        <v>1229</v>
      </c>
      <c r="K450" s="143">
        <v>3.0</v>
      </c>
      <c r="L450" s="144">
        <v>5.0</v>
      </c>
      <c r="M450" s="144">
        <v>7.0</v>
      </c>
      <c r="N450" s="144">
        <v>4.0</v>
      </c>
      <c r="O450" s="144">
        <v>2.0</v>
      </c>
      <c r="P450" s="144">
        <v>3.0</v>
      </c>
      <c r="Q450" s="447">
        <v>1.0</v>
      </c>
      <c r="R450" s="448"/>
      <c r="S450" s="405">
        <f>IF(ISTEXT($V450), "TBD", RANK(V450,$V446:$V452))</f>
        <v>3</v>
      </c>
      <c r="T450" s="225">
        <v>1.0</v>
      </c>
      <c r="U450" s="225" t="b">
        <f>Rankings!$S450=Rankings!$T450</f>
        <v>0</v>
      </c>
      <c r="V450" s="443">
        <f>IF(ISTEXT(Rankings!F450), "TBD", (RANK($F450,$F446:$F452) + IF(ISTEXT($H450), 0, (RANK($H450,$H446:$H452)/10)) + (RANK($G450,$G446:$G452)/100)))</f>
        <v>5.43</v>
      </c>
      <c r="W450" s="153"/>
    </row>
    <row r="451" ht="15.0" customHeight="1">
      <c r="A451" s="134"/>
      <c r="B451" s="134"/>
      <c r="C451" s="134"/>
      <c r="D451" s="219">
        <f t="shared" si="66"/>
        <v>46059</v>
      </c>
      <c r="E451" s="227" t="str">
        <f>$P$1</f>
        <v>Weston</v>
      </c>
      <c r="F451" s="220">
        <f>IFERROR(AVERAGE(Rankings!$K451:$R451), "TBD")</f>
        <v>2.714285714</v>
      </c>
      <c r="G451" s="220">
        <f>IFERROR(_xlfn.STDEV.P(Rankings!$K451:$R451), "TBD")</f>
        <v>1.577908717</v>
      </c>
      <c r="H451" s="221">
        <f>IFERROR(AVERAGE(Rankings!$K451:$O451, Rankings!$Q451:$R451), "TBD")</f>
        <v>3</v>
      </c>
      <c r="I451" s="222" t="s">
        <v>77</v>
      </c>
      <c r="J451" s="222" t="s">
        <v>1230</v>
      </c>
      <c r="K451" s="143">
        <v>2.0</v>
      </c>
      <c r="L451" s="144">
        <v>2.0</v>
      </c>
      <c r="M451" s="144">
        <v>2.0</v>
      </c>
      <c r="N451" s="144">
        <v>2.0</v>
      </c>
      <c r="O451" s="144">
        <v>6.0</v>
      </c>
      <c r="P451" s="144">
        <v>1.0</v>
      </c>
      <c r="Q451" s="447">
        <v>4.0</v>
      </c>
      <c r="R451" s="448"/>
      <c r="S451" s="405">
        <f>IF(ISTEXT($V451), "TBD", RANK(V451,$V446:$V452))</f>
        <v>1</v>
      </c>
      <c r="T451" s="449">
        <v>1.0</v>
      </c>
      <c r="U451" s="225" t="b">
        <f>Rankings!$S451=Rankings!$T451</f>
        <v>1</v>
      </c>
      <c r="V451" s="443">
        <f>IF(ISTEXT(Rankings!F451), "TBD", (RANK($F451,$F446:$F452) + IF(ISTEXT($H451), 0, (RANK($H451,$H446:$H452)/10)) + (RANK($G451,$G446:$G452)/100)))</f>
        <v>7.77</v>
      </c>
      <c r="W451" s="153"/>
    </row>
    <row r="452" ht="15.0" customHeight="1">
      <c r="A452" s="189"/>
      <c r="B452" s="189"/>
      <c r="C452" s="189"/>
      <c r="D452" s="219">
        <f t="shared" si="66"/>
        <v>46059</v>
      </c>
      <c r="E452" s="131" t="str">
        <f>$Q$1</f>
        <v>Flocco</v>
      </c>
      <c r="F452" s="220">
        <f>IFERROR(AVERAGE(Rankings!$K452:$R452), "TBD")</f>
        <v>5.142857143</v>
      </c>
      <c r="G452" s="220">
        <f>IFERROR(_xlfn.STDEV.P(Rankings!$K452:$R452), "TBD")</f>
        <v>1.726149425</v>
      </c>
      <c r="H452" s="221">
        <f>IFERROR(AVERAGE(Rankings!$K452:$P452, Rankings!$R452), "TBD")</f>
        <v>5.5</v>
      </c>
      <c r="I452" s="222" t="s">
        <v>1231</v>
      </c>
      <c r="J452" s="222" t="s">
        <v>1232</v>
      </c>
      <c r="K452" s="143">
        <v>4.0</v>
      </c>
      <c r="L452" s="144">
        <v>7.0</v>
      </c>
      <c r="M452" s="144">
        <v>5.0</v>
      </c>
      <c r="N452" s="144">
        <v>7.0</v>
      </c>
      <c r="O452" s="144">
        <v>3.0</v>
      </c>
      <c r="P452" s="144">
        <v>7.0</v>
      </c>
      <c r="Q452" s="447">
        <v>3.0</v>
      </c>
      <c r="R452" s="448"/>
      <c r="S452" s="405">
        <f>IF(ISTEXT($V452), "TBD", RANK(V452,$V446:$V452))</f>
        <v>6</v>
      </c>
      <c r="T452" s="449">
        <v>1.0</v>
      </c>
      <c r="U452" s="225" t="b">
        <f>Rankings!$S452=Rankings!$T452</f>
        <v>0</v>
      </c>
      <c r="V452" s="443">
        <f>IF(ISTEXT(Rankings!F452), "TBD", (RANK($F452,$F446:$F452) + IF(ISTEXT($H452), 0, (RANK($H452,$H446:$H452)/10)) + (RANK($G452,$G446:$G452)/100)))</f>
        <v>1.15</v>
      </c>
      <c r="W452" s="208"/>
    </row>
    <row r="453" ht="15.0" customHeight="1">
      <c r="A453" s="103">
        <v>46062.0</v>
      </c>
      <c r="B453" s="104"/>
      <c r="C453" s="104" t="str">
        <f t="array" ref="C453">INDEX(Rankings!$E453:$E459, MATCH(1, (Rankings!$D453:$D459=$A453)*(Rankings!$U453:$U459=TRUE()), 0))</f>
        <v>Rosey</v>
      </c>
      <c r="D453" s="111">
        <f>A453</f>
        <v>46062</v>
      </c>
      <c r="E453" s="113" t="str">
        <f>$K$1</f>
        <v>Logan</v>
      </c>
      <c r="F453" s="115">
        <f>IFERROR(AVERAGE(Rankings!$K453:$R453), "TBD")</f>
        <v>4</v>
      </c>
      <c r="G453" s="115">
        <f>IFERROR(_xlfn.STDEV.P(Rankings!$K453:$R453), "TBD")</f>
        <v>1.414213562</v>
      </c>
      <c r="H453" s="117">
        <f>IFERROR(AVERAGE(Rankings!$L453:$R453), "TBD")</f>
        <v>4.333333333</v>
      </c>
      <c r="I453" s="119" t="s">
        <v>1233</v>
      </c>
      <c r="J453" s="119" t="s">
        <v>672</v>
      </c>
      <c r="K453" s="120">
        <v>2.0</v>
      </c>
      <c r="L453" s="121">
        <v>3.0</v>
      </c>
      <c r="M453" s="121">
        <v>6.0</v>
      </c>
      <c r="N453" s="121">
        <v>3.0</v>
      </c>
      <c r="O453" s="121">
        <v>4.0</v>
      </c>
      <c r="P453" s="121">
        <v>4.0</v>
      </c>
      <c r="Q453" s="445">
        <v>6.0</v>
      </c>
      <c r="R453" s="446"/>
      <c r="S453" s="401">
        <f>IF(ISTEXT($V453), "TBD", RANK(V453,$V453:$V459))</f>
        <v>3</v>
      </c>
      <c r="T453" s="217">
        <v>1.0</v>
      </c>
      <c r="U453" s="217" t="b">
        <f>Rankings!$S453=Rankings!$T453</f>
        <v>0</v>
      </c>
      <c r="V453" s="443">
        <f>IF(ISTEXT(Rankings!F453), "TBD", (RANK($F453,$F453:$F459) + IF(ISTEXT($H453), 0, (RANK($H453,$H453:$H459)/10)) + (RANK($G453,$G453:$G459)/100)))</f>
        <v>4.47</v>
      </c>
      <c r="W453" s="259"/>
    </row>
    <row r="454" ht="15.0" customHeight="1">
      <c r="A454" s="134"/>
      <c r="B454" s="134"/>
      <c r="C454" s="134"/>
      <c r="D454" s="219">
        <f>D453</f>
        <v>46062</v>
      </c>
      <c r="E454" s="138" t="str">
        <f>$L$1</f>
        <v>Parker</v>
      </c>
      <c r="F454" s="220">
        <f>IFERROR(AVERAGE(Rankings!$K454:$R454), "TBD")</f>
        <v>3.714285714</v>
      </c>
      <c r="G454" s="220">
        <f>IFERROR(_xlfn.STDEV.P(Rankings!$K454:$R454), "TBD")</f>
        <v>1.905952009</v>
      </c>
      <c r="H454" s="221">
        <f>IFERROR(AVERAGE(Rankings!$K454, Rankings!$M454:$R454), "TBD")</f>
        <v>4</v>
      </c>
      <c r="I454" s="222" t="s">
        <v>1234</v>
      </c>
      <c r="J454" s="222" t="s">
        <v>890</v>
      </c>
      <c r="K454" s="143">
        <v>1.0</v>
      </c>
      <c r="L454" s="144">
        <v>2.0</v>
      </c>
      <c r="M454" s="144">
        <v>4.0</v>
      </c>
      <c r="N454" s="144">
        <v>2.0</v>
      </c>
      <c r="O454" s="144">
        <v>6.0</v>
      </c>
      <c r="P454" s="144">
        <v>6.0</v>
      </c>
      <c r="Q454" s="447">
        <v>5.0</v>
      </c>
      <c r="R454" s="448"/>
      <c r="S454" s="405">
        <f>IF(ISTEXT($V454), "TBD", RANK(V454,$V453:$V459))</f>
        <v>2</v>
      </c>
      <c r="T454" s="225">
        <v>1.0</v>
      </c>
      <c r="U454" s="225" t="b">
        <f>Rankings!$S454=Rankings!$T454</f>
        <v>0</v>
      </c>
      <c r="V454" s="443">
        <f>IF(ISTEXT(Rankings!F454), "TBD", (RANK($F454,$F453:$F459) + IF(ISTEXT($H454), 0, (RANK($H454,$H453:$H459)/10)) + (RANK($G454,$G453:$G459)/100)))</f>
        <v>6.63</v>
      </c>
      <c r="W454" s="153"/>
    </row>
    <row r="455" ht="15.0" customHeight="1">
      <c r="A455" s="134"/>
      <c r="B455" s="134"/>
      <c r="C455" s="134"/>
      <c r="D455" s="219">
        <f>D453</f>
        <v>46062</v>
      </c>
      <c r="E455" s="227" t="str">
        <f>$M$1</f>
        <v>Giacomo</v>
      </c>
      <c r="F455" s="220">
        <f>IFERROR(AVERAGE(Rankings!$K455:$R455), "TBD")</f>
        <v>4.285714286</v>
      </c>
      <c r="G455" s="220">
        <f>IFERROR(_xlfn.STDEV.P(Rankings!$K455:$R455), "TBD")</f>
        <v>1.484614978</v>
      </c>
      <c r="H455" s="221">
        <f>IFERROR(AVERAGE(Rankings!$K455:$L455, Rankings!$N455:$R455), "TBD")</f>
        <v>4.666666667</v>
      </c>
      <c r="I455" s="222" t="s">
        <v>1235</v>
      </c>
      <c r="J455" s="222" t="s">
        <v>1236</v>
      </c>
      <c r="K455" s="143">
        <v>5.0</v>
      </c>
      <c r="L455" s="144">
        <v>4.0</v>
      </c>
      <c r="M455" s="144">
        <v>2.0</v>
      </c>
      <c r="N455" s="144">
        <v>4.0</v>
      </c>
      <c r="O455" s="144">
        <v>5.0</v>
      </c>
      <c r="P455" s="144">
        <v>3.0</v>
      </c>
      <c r="Q455" s="447">
        <v>7.0</v>
      </c>
      <c r="R455" s="448"/>
      <c r="S455" s="405">
        <f>IF(ISTEXT($V455), "TBD", RANK(V455,$V453:$V459))</f>
        <v>6</v>
      </c>
      <c r="T455" s="225">
        <v>1.0</v>
      </c>
      <c r="U455" s="225" t="b">
        <f>Rankings!$S455=Rankings!$T455</f>
        <v>0</v>
      </c>
      <c r="V455" s="443">
        <f>IF(ISTEXT(Rankings!F455), "TBD", (RANK($F455,$F453:$F459) + IF(ISTEXT($H455), 0, (RANK($H455,$H453:$H459)/10)) + (RANK($G455,$G453:$G459)/100)))</f>
        <v>2.26</v>
      </c>
      <c r="W455" s="153"/>
    </row>
    <row r="456" ht="15.0" customHeight="1">
      <c r="A456" s="134"/>
      <c r="B456" s="134"/>
      <c r="C456" s="134"/>
      <c r="D456" s="219">
        <f>D453</f>
        <v>46062</v>
      </c>
      <c r="E456" s="227" t="str">
        <f>$N$1</f>
        <v>Rosey</v>
      </c>
      <c r="F456" s="220">
        <f>IFERROR(AVERAGE(Rankings!$K456:$R456), "TBD")</f>
        <v>2.285714286</v>
      </c>
      <c r="G456" s="220">
        <f>IFERROR(_xlfn.STDEV.P(Rankings!$K456:$R456), "TBD")</f>
        <v>1.829464068</v>
      </c>
      <c r="H456" s="221">
        <f>IFERROR(AVERAGE(Rankings!$K456:$M456, Rankings!$O456:$R456), "TBD")</f>
        <v>2.5</v>
      </c>
      <c r="I456" s="222" t="s">
        <v>440</v>
      </c>
      <c r="J456" s="222" t="s">
        <v>1237</v>
      </c>
      <c r="K456" s="143">
        <v>6.0</v>
      </c>
      <c r="L456" s="144">
        <v>1.0</v>
      </c>
      <c r="M456" s="144">
        <v>1.0</v>
      </c>
      <c r="N456" s="144">
        <v>1.0</v>
      </c>
      <c r="O456" s="144">
        <v>1.0</v>
      </c>
      <c r="P456" s="144">
        <v>2.0</v>
      </c>
      <c r="Q456" s="447">
        <v>4.0</v>
      </c>
      <c r="R456" s="448"/>
      <c r="S456" s="405">
        <f>IF(ISTEXT($V456), "TBD", RANK(V456,$V453:$V459))</f>
        <v>1</v>
      </c>
      <c r="T456" s="225">
        <v>1.0</v>
      </c>
      <c r="U456" s="225" t="b">
        <f>Rankings!$S456=Rankings!$T456</f>
        <v>1</v>
      </c>
      <c r="V456" s="443">
        <f>IF(ISTEXT(Rankings!F456), "TBD", (RANK($F456,$F453:$F459) + IF(ISTEXT($H456), 0, (RANK($H456,$H453:$H459)/10)) + (RANK($G456,$G453:$G459)/100)))</f>
        <v>7.74</v>
      </c>
      <c r="W456" s="153"/>
    </row>
    <row r="457" ht="15.0" customHeight="1">
      <c r="A457" s="134"/>
      <c r="B457" s="134"/>
      <c r="C457" s="134"/>
      <c r="D457" s="219">
        <f t="shared" ref="D457:D459" si="67">D453</f>
        <v>46062</v>
      </c>
      <c r="E457" s="227" t="str">
        <f>$O$1</f>
        <v>TTAC</v>
      </c>
      <c r="F457" s="220">
        <f>IFERROR(AVERAGE(Rankings!$K457:$R457), "TBD")</f>
        <v>4.142857143</v>
      </c>
      <c r="G457" s="220">
        <f>IFERROR(_xlfn.STDEV.P(Rankings!$K457:$R457), "TBD")</f>
        <v>1.551825784</v>
      </c>
      <c r="H457" s="221">
        <f>IFERROR(AVERAGE(Rankings!$K457:$N457, Rankings!$P457:$R457), "TBD")</f>
        <v>4.333333333</v>
      </c>
      <c r="I457" s="222" t="s">
        <v>1238</v>
      </c>
      <c r="J457" s="222" t="s">
        <v>1239</v>
      </c>
      <c r="K457" s="143">
        <v>4.0</v>
      </c>
      <c r="L457" s="144">
        <v>5.0</v>
      </c>
      <c r="M457" s="144">
        <v>5.0</v>
      </c>
      <c r="N457" s="144">
        <v>6.0</v>
      </c>
      <c r="O457" s="144">
        <v>3.0</v>
      </c>
      <c r="P457" s="144">
        <v>5.0</v>
      </c>
      <c r="Q457" s="447">
        <v>1.0</v>
      </c>
      <c r="R457" s="448"/>
      <c r="S457" s="405">
        <f>IF(ISTEXT($V457), "TBD", RANK(V457,$V453:$V459))</f>
        <v>5</v>
      </c>
      <c r="T457" s="225">
        <v>1.0</v>
      </c>
      <c r="U457" s="225" t="b">
        <f>Rankings!$S457=Rankings!$T457</f>
        <v>0</v>
      </c>
      <c r="V457" s="443">
        <f>IF(ISTEXT(Rankings!F457), "TBD", (RANK($F457,$F453:$F459) + IF(ISTEXT($H457), 0, (RANK($H457,$H453:$H459)/10)) + (RANK($G457,$G453:$G459)/100)))</f>
        <v>3.45</v>
      </c>
      <c r="W457" s="153"/>
    </row>
    <row r="458" ht="15.0" customHeight="1">
      <c r="A458" s="134"/>
      <c r="B458" s="134"/>
      <c r="C458" s="134"/>
      <c r="D458" s="219">
        <f t="shared" si="67"/>
        <v>46062</v>
      </c>
      <c r="E458" s="227" t="str">
        <f>$P$1</f>
        <v>Weston</v>
      </c>
      <c r="F458" s="220">
        <f>IFERROR(AVERAGE(Rankings!$K458:$R458), "TBD")</f>
        <v>4</v>
      </c>
      <c r="G458" s="220">
        <f>IFERROR(_xlfn.STDEV.P(Rankings!$K458:$R458), "TBD")</f>
        <v>2.20389266</v>
      </c>
      <c r="H458" s="221">
        <f>IFERROR(AVERAGE(Rankings!$K458:$O458, Rankings!$Q458:$R458), "TBD")</f>
        <v>4.5</v>
      </c>
      <c r="I458" s="222" t="s">
        <v>1240</v>
      </c>
      <c r="J458" s="222" t="s">
        <v>1241</v>
      </c>
      <c r="K458" s="143">
        <v>7.0</v>
      </c>
      <c r="L458" s="144">
        <v>7.0</v>
      </c>
      <c r="M458" s="144">
        <v>3.0</v>
      </c>
      <c r="N458" s="144">
        <v>5.0</v>
      </c>
      <c r="O458" s="144">
        <v>2.0</v>
      </c>
      <c r="P458" s="144">
        <v>1.0</v>
      </c>
      <c r="Q458" s="447">
        <v>3.0</v>
      </c>
      <c r="R458" s="448"/>
      <c r="S458" s="405">
        <f>IF(ISTEXT($V458), "TBD", RANK(V458,$V453:$V459))</f>
        <v>4</v>
      </c>
      <c r="T458" s="449">
        <v>1.0</v>
      </c>
      <c r="U458" s="225" t="b">
        <f>Rankings!$S458=Rankings!$T458</f>
        <v>0</v>
      </c>
      <c r="V458" s="443">
        <f>IF(ISTEXT(Rankings!F458), "TBD", (RANK($F458,$F453:$F459) + IF(ISTEXT($H458), 0, (RANK($H458,$H453:$H459)/10)) + (RANK($G458,$G453:$G459)/100)))</f>
        <v>4.31</v>
      </c>
      <c r="W458" s="153"/>
    </row>
    <row r="459" ht="15.0" customHeight="1">
      <c r="A459" s="189"/>
      <c r="B459" s="189"/>
      <c r="C459" s="189"/>
      <c r="D459" s="219">
        <f t="shared" si="67"/>
        <v>46062</v>
      </c>
      <c r="E459" s="131" t="str">
        <f>$Q$1</f>
        <v>Flocco</v>
      </c>
      <c r="F459" s="220">
        <f>IFERROR(AVERAGE(Rankings!$K459:$R459), "TBD")</f>
        <v>5.571428571</v>
      </c>
      <c r="G459" s="220">
        <f>IFERROR(_xlfn.STDEV.P(Rankings!$K459:$R459), "TBD")</f>
        <v>1.989769754</v>
      </c>
      <c r="H459" s="221">
        <f>IFERROR(AVERAGE(Rankings!$K459:$P459, Rankings!$R459), "TBD")</f>
        <v>6.166666667</v>
      </c>
      <c r="I459" s="222" t="s">
        <v>1242</v>
      </c>
      <c r="J459" s="222" t="s">
        <v>397</v>
      </c>
      <c r="K459" s="143">
        <v>3.0</v>
      </c>
      <c r="L459" s="144">
        <v>6.0</v>
      </c>
      <c r="M459" s="144">
        <v>7.0</v>
      </c>
      <c r="N459" s="144">
        <v>7.0</v>
      </c>
      <c r="O459" s="144">
        <v>7.0</v>
      </c>
      <c r="P459" s="144">
        <v>7.0</v>
      </c>
      <c r="Q459" s="447">
        <v>2.0</v>
      </c>
      <c r="R459" s="448"/>
      <c r="S459" s="405">
        <f>IF(ISTEXT($V459), "TBD", RANK(V459,$V453:$V459))</f>
        <v>7</v>
      </c>
      <c r="T459" s="449">
        <v>1.0</v>
      </c>
      <c r="U459" s="225" t="b">
        <f>Rankings!$S459=Rankings!$T459</f>
        <v>0</v>
      </c>
      <c r="V459" s="443">
        <f>IF(ISTEXT(Rankings!F459), "TBD", (RANK($F459,$F453:$F459) + IF(ISTEXT($H459), 0, (RANK($H459,$H453:$H459)/10)) + (RANK($G459,$G453:$G459)/100)))</f>
        <v>1.12</v>
      </c>
      <c r="W459" s="208"/>
    </row>
    <row r="460" ht="15.0" customHeight="1">
      <c r="A460" s="103">
        <v>46064.0</v>
      </c>
      <c r="B460" s="419" t="s">
        <v>141</v>
      </c>
      <c r="C460" s="104" t="str">
        <f t="array" ref="C460">INDEX(Rankings!$E460:$E466, MATCH(1, (Rankings!$D460:$D466=$A460)*(Rankings!$U460:$U466=TRUE()), 0))</f>
        <v>Giacomo</v>
      </c>
      <c r="D460" s="111">
        <f>A460</f>
        <v>46064</v>
      </c>
      <c r="E460" s="113" t="str">
        <f>$K$1</f>
        <v>Logan</v>
      </c>
      <c r="F460" s="115">
        <f>IFERROR(AVERAGE(Rankings!$K460:$R460), "TBD")</f>
        <v>6.285714286</v>
      </c>
      <c r="G460" s="115">
        <f>IFERROR(_xlfn.STDEV.P(Rankings!$K460:$R460), "TBD")</f>
        <v>1.749635531</v>
      </c>
      <c r="H460" s="117">
        <f>IFERROR(AVERAGE(Rankings!$L460:$R460), "TBD")</f>
        <v>6.166666667</v>
      </c>
      <c r="I460" s="119" t="s">
        <v>1243</v>
      </c>
      <c r="J460" s="119" t="s">
        <v>1244</v>
      </c>
      <c r="K460" s="120">
        <v>7.0</v>
      </c>
      <c r="L460" s="121">
        <v>7.0</v>
      </c>
      <c r="M460" s="121">
        <v>7.0</v>
      </c>
      <c r="N460" s="121">
        <v>2.0</v>
      </c>
      <c r="O460" s="121">
        <v>7.0</v>
      </c>
      <c r="P460" s="121">
        <v>7.0</v>
      </c>
      <c r="Q460" s="445">
        <v>7.0</v>
      </c>
      <c r="R460" s="446"/>
      <c r="S460" s="401">
        <f>IF(ISTEXT($V460), "TBD", RANK(V460,$V460:$V466))</f>
        <v>7</v>
      </c>
      <c r="T460" s="217">
        <v>1.0</v>
      </c>
      <c r="U460" s="217" t="b">
        <f>Rankings!$S460=Rankings!$T460</f>
        <v>0</v>
      </c>
      <c r="V460" s="443">
        <f>IF(ISTEXT(Rankings!F460), "TBD", (RANK($F460,$F460:$F466) + IF(ISTEXT($H460), 0, (RANK($H460,$H460:$H466)/10)) + (RANK($G460,$G460:$G466)/100)))</f>
        <v>1.13</v>
      </c>
      <c r="W460" s="259"/>
    </row>
    <row r="461" ht="15.0" customHeight="1">
      <c r="A461" s="134"/>
      <c r="B461" s="134"/>
      <c r="C461" s="134"/>
      <c r="D461" s="219">
        <f>D460</f>
        <v>46064</v>
      </c>
      <c r="E461" s="138" t="str">
        <f>$L$1</f>
        <v>Parker</v>
      </c>
      <c r="F461" s="220">
        <f>IFERROR(AVERAGE(Rankings!$K461:$R461), "TBD")</f>
        <v>4</v>
      </c>
      <c r="G461" s="220">
        <f>IFERROR(_xlfn.STDEV.P(Rankings!$K461:$R461), "TBD")</f>
        <v>1.690308509</v>
      </c>
      <c r="H461" s="221">
        <f>IFERROR(AVERAGE(Rankings!$K461, Rankings!$M461:$R461), "TBD")</f>
        <v>4.166666667</v>
      </c>
      <c r="I461" s="222" t="s">
        <v>1245</v>
      </c>
      <c r="J461" s="222" t="s">
        <v>1246</v>
      </c>
      <c r="K461" s="143">
        <v>6.0</v>
      </c>
      <c r="L461" s="144">
        <v>3.0</v>
      </c>
      <c r="M461" s="144">
        <v>4.0</v>
      </c>
      <c r="N461" s="144">
        <v>5.0</v>
      </c>
      <c r="O461" s="144">
        <v>6.0</v>
      </c>
      <c r="P461" s="144">
        <v>3.0</v>
      </c>
      <c r="Q461" s="447">
        <v>1.0</v>
      </c>
      <c r="R461" s="448"/>
      <c r="S461" s="405">
        <f>IF(ISTEXT($V461), "TBD", RANK(V461,$V460:$V466))</f>
        <v>3</v>
      </c>
      <c r="T461" s="225">
        <v>1.0</v>
      </c>
      <c r="U461" s="225" t="b">
        <f>Rankings!$S461=Rankings!$T461</f>
        <v>0</v>
      </c>
      <c r="V461" s="443">
        <f>IF(ISTEXT(Rankings!F461), "TBD", (RANK($F461,$F460:$F466) + IF(ISTEXT($H461), 0, (RANK($H461,$H460:$H466)/10)) + (RANK($G461,$G460:$G466)/100)))</f>
        <v>4.55</v>
      </c>
      <c r="W461" s="153"/>
    </row>
    <row r="462" ht="15.0" customHeight="1">
      <c r="A462" s="134"/>
      <c r="B462" s="134"/>
      <c r="C462" s="134"/>
      <c r="D462" s="219">
        <f>D460</f>
        <v>46064</v>
      </c>
      <c r="E462" s="227" t="str">
        <f>$M$1</f>
        <v>Giacomo</v>
      </c>
      <c r="F462" s="220">
        <f>IFERROR(AVERAGE(Rankings!$K462:$R462), "TBD")</f>
        <v>2</v>
      </c>
      <c r="G462" s="220">
        <f>IFERROR(_xlfn.STDEV.P(Rankings!$K462:$R462), "TBD")</f>
        <v>0.9258200998</v>
      </c>
      <c r="H462" s="221">
        <f>IFERROR(AVERAGE(Rankings!$K462:$L462, Rankings!$N462:$R462), "TBD")</f>
        <v>2.166666667</v>
      </c>
      <c r="I462" s="222" t="s">
        <v>426</v>
      </c>
      <c r="J462" s="222" t="s">
        <v>1247</v>
      </c>
      <c r="K462" s="143">
        <v>3.0</v>
      </c>
      <c r="L462" s="144">
        <v>1.0</v>
      </c>
      <c r="M462" s="144">
        <v>1.0</v>
      </c>
      <c r="N462" s="144">
        <v>3.0</v>
      </c>
      <c r="O462" s="144">
        <v>1.0</v>
      </c>
      <c r="P462" s="144">
        <v>2.0</v>
      </c>
      <c r="Q462" s="447">
        <v>3.0</v>
      </c>
      <c r="R462" s="448"/>
      <c r="S462" s="405">
        <f>IF(ISTEXT($V462), "TBD", RANK(V462,$V460:$V466))</f>
        <v>1</v>
      </c>
      <c r="T462" s="225">
        <v>1.0</v>
      </c>
      <c r="U462" s="225" t="b">
        <f>Rankings!$S462=Rankings!$T462</f>
        <v>1</v>
      </c>
      <c r="V462" s="443">
        <f>IF(ISTEXT(Rankings!F462), "TBD", (RANK($F462,$F460:$F466) + IF(ISTEXT($H462), 0, (RANK($H462,$H460:$H466)/10)) + (RANK($G462,$G460:$G466)/100)))</f>
        <v>7.77</v>
      </c>
      <c r="W462" s="153"/>
    </row>
    <row r="463" ht="15.0" customHeight="1">
      <c r="A463" s="134"/>
      <c r="B463" s="134"/>
      <c r="C463" s="134"/>
      <c r="D463" s="219">
        <f>D460</f>
        <v>46064</v>
      </c>
      <c r="E463" s="227" t="str">
        <f>$N$1</f>
        <v>Rosey</v>
      </c>
      <c r="F463" s="220">
        <f>IFERROR(AVERAGE(Rankings!$K463:$R463), "TBD")</f>
        <v>3.142857143</v>
      </c>
      <c r="G463" s="220">
        <f>IFERROR(_xlfn.STDEV.P(Rankings!$K463:$R463), "TBD")</f>
        <v>1.726149425</v>
      </c>
      <c r="H463" s="221">
        <f>IFERROR(AVERAGE(Rankings!$K463:$M463, Rankings!$O463:$R463), "TBD")</f>
        <v>3.5</v>
      </c>
      <c r="I463" s="222" t="s">
        <v>1248</v>
      </c>
      <c r="J463" s="222" t="s">
        <v>1249</v>
      </c>
      <c r="K463" s="143">
        <v>4.0</v>
      </c>
      <c r="L463" s="144">
        <v>2.0</v>
      </c>
      <c r="M463" s="144">
        <v>2.0</v>
      </c>
      <c r="N463" s="144">
        <v>1.0</v>
      </c>
      <c r="O463" s="144">
        <v>2.0</v>
      </c>
      <c r="P463" s="144">
        <v>6.0</v>
      </c>
      <c r="Q463" s="447">
        <v>5.0</v>
      </c>
      <c r="R463" s="448"/>
      <c r="S463" s="405">
        <f>IF(ISTEXT($V463), "TBD", RANK(V463,$V460:$V466))</f>
        <v>2</v>
      </c>
      <c r="T463" s="225">
        <v>1.0</v>
      </c>
      <c r="U463" s="225" t="b">
        <f>Rankings!$S463=Rankings!$T463</f>
        <v>0</v>
      </c>
      <c r="V463" s="443">
        <f>IF(ISTEXT(Rankings!F463), "TBD", (RANK($F463,$F460:$F466) + IF(ISTEXT($H463), 0, (RANK($H463,$H460:$H466)/10)) + (RANK($G463,$G460:$G466)/100)))</f>
        <v>6.64</v>
      </c>
      <c r="W463" s="153"/>
    </row>
    <row r="464" ht="15.0" customHeight="1">
      <c r="A464" s="134"/>
      <c r="B464" s="134"/>
      <c r="C464" s="134"/>
      <c r="D464" s="219">
        <f t="shared" ref="D464:D466" si="68">D460</f>
        <v>46064</v>
      </c>
      <c r="E464" s="227" t="str">
        <f>$O$1</f>
        <v>TTAC</v>
      </c>
      <c r="F464" s="220">
        <f>IFERROR(AVERAGE(Rankings!$K464:$R464), "TBD")</f>
        <v>4.285714286</v>
      </c>
      <c r="G464" s="220">
        <f>IFERROR(_xlfn.STDEV.P(Rankings!$K464:$R464), "TBD")</f>
        <v>1.030157507</v>
      </c>
      <c r="H464" s="221">
        <f>IFERROR(AVERAGE(Rankings!$K464:$N464, Rankings!$P464:$R464), "TBD")</f>
        <v>4.5</v>
      </c>
      <c r="I464" s="222" t="s">
        <v>1250</v>
      </c>
      <c r="J464" s="222" t="s">
        <v>1251</v>
      </c>
      <c r="K464" s="143">
        <v>5.0</v>
      </c>
      <c r="L464" s="144">
        <v>4.0</v>
      </c>
      <c r="M464" s="144">
        <v>3.0</v>
      </c>
      <c r="N464" s="144">
        <v>4.0</v>
      </c>
      <c r="O464" s="144">
        <v>3.0</v>
      </c>
      <c r="P464" s="144">
        <v>5.0</v>
      </c>
      <c r="Q464" s="447">
        <v>6.0</v>
      </c>
      <c r="R464" s="448"/>
      <c r="S464" s="405">
        <f>IF(ISTEXT($V464), "TBD", RANK(V464,$V460:$V466))</f>
        <v>5</v>
      </c>
      <c r="T464" s="225">
        <v>1.0</v>
      </c>
      <c r="U464" s="225" t="b">
        <f>Rankings!$S464=Rankings!$T464</f>
        <v>0</v>
      </c>
      <c r="V464" s="443">
        <f>IF(ISTEXT(Rankings!F464), "TBD", (RANK($F464,$F460:$F466) + IF(ISTEXT($H464), 0, (RANK($H464,$H460:$H466)/10)) + (RANK($G464,$G460:$G466)/100)))</f>
        <v>2.36</v>
      </c>
      <c r="W464" s="153"/>
    </row>
    <row r="465" ht="15.0" customHeight="1">
      <c r="A465" s="134"/>
      <c r="B465" s="134"/>
      <c r="C465" s="134"/>
      <c r="D465" s="219">
        <f t="shared" si="68"/>
        <v>46064</v>
      </c>
      <c r="E465" s="227" t="str">
        <f>$P$1</f>
        <v>Weston</v>
      </c>
      <c r="F465" s="220">
        <f>IFERROR(AVERAGE(Rankings!$K465:$R465), "TBD")</f>
        <v>4.285714286</v>
      </c>
      <c r="G465" s="220">
        <f>IFERROR(_xlfn.STDEV.P(Rankings!$K465:$R465), "TBD")</f>
        <v>1.979486637</v>
      </c>
      <c r="H465" s="221">
        <f>IFERROR(AVERAGE(Rankings!$K465:$O465, Rankings!$Q465:$R465), "TBD")</f>
        <v>4.833333333</v>
      </c>
      <c r="I465" s="222" t="s">
        <v>1252</v>
      </c>
      <c r="J465" s="222" t="s">
        <v>1253</v>
      </c>
      <c r="K465" s="143">
        <v>2.0</v>
      </c>
      <c r="L465" s="144">
        <v>5.0</v>
      </c>
      <c r="M465" s="144">
        <v>6.0</v>
      </c>
      <c r="N465" s="144">
        <v>7.0</v>
      </c>
      <c r="O465" s="144">
        <v>5.0</v>
      </c>
      <c r="P465" s="144">
        <v>1.0</v>
      </c>
      <c r="Q465" s="447">
        <v>4.0</v>
      </c>
      <c r="R465" s="448"/>
      <c r="S465" s="405">
        <f>IF(ISTEXT($V465), "TBD", RANK(V465,$V460:$V466))</f>
        <v>6</v>
      </c>
      <c r="T465" s="449">
        <v>1.0</v>
      </c>
      <c r="U465" s="225" t="b">
        <f>Rankings!$S465=Rankings!$T465</f>
        <v>0</v>
      </c>
      <c r="V465" s="443">
        <f>IF(ISTEXT(Rankings!F465), "TBD", (RANK($F465,$F460:$F466) + IF(ISTEXT($H465), 0, (RANK($H465,$H460:$H466)/10)) + (RANK($G465,$G460:$G466)/100)))</f>
        <v>2.21</v>
      </c>
      <c r="W465" s="153"/>
    </row>
    <row r="466" ht="15.0" customHeight="1">
      <c r="A466" s="189"/>
      <c r="B466" s="189"/>
      <c r="C466" s="189"/>
      <c r="D466" s="219">
        <f t="shared" si="68"/>
        <v>46064</v>
      </c>
      <c r="E466" s="131" t="str">
        <f>$Q$1</f>
        <v>Flocco</v>
      </c>
      <c r="F466" s="220">
        <f>IFERROR(AVERAGE(Rankings!$K466:$R466), "TBD")</f>
        <v>4</v>
      </c>
      <c r="G466" s="220">
        <f>IFERROR(_xlfn.STDEV.P(Rankings!$K466:$R466), "TBD")</f>
        <v>1.772810521</v>
      </c>
      <c r="H466" s="221">
        <f>IFERROR(AVERAGE(Rankings!$K466:$P466, Rankings!$R466), "TBD")</f>
        <v>4.333333333</v>
      </c>
      <c r="I466" s="222" t="s">
        <v>1254</v>
      </c>
      <c r="J466" s="222" t="s">
        <v>1255</v>
      </c>
      <c r="K466" s="143">
        <v>1.0</v>
      </c>
      <c r="L466" s="144">
        <v>6.0</v>
      </c>
      <c r="M466" s="144">
        <v>5.0</v>
      </c>
      <c r="N466" s="144">
        <v>6.0</v>
      </c>
      <c r="O466" s="144">
        <v>4.0</v>
      </c>
      <c r="P466" s="144">
        <v>4.0</v>
      </c>
      <c r="Q466" s="447">
        <v>2.0</v>
      </c>
      <c r="R466" s="448"/>
      <c r="S466" s="405">
        <f>IF(ISTEXT($V466), "TBD", RANK(V466,$V460:$V466))</f>
        <v>4</v>
      </c>
      <c r="T466" s="449">
        <v>1.0</v>
      </c>
      <c r="U466" s="225" t="b">
        <f>Rankings!$S466=Rankings!$T466</f>
        <v>0</v>
      </c>
      <c r="V466" s="443">
        <f>IF(ISTEXT(Rankings!F466), "TBD", (RANK($F466,$F460:$F466) + IF(ISTEXT($H466), 0, (RANK($H466,$H460:$H466)/10)) + (RANK($G466,$G460:$G466)/100)))</f>
        <v>4.42</v>
      </c>
      <c r="W466" s="208"/>
    </row>
    <row r="467" ht="15.0" customHeight="1">
      <c r="A467" s="103">
        <v>46066.0</v>
      </c>
      <c r="B467" s="104"/>
      <c r="C467" s="104" t="str">
        <f t="array" ref="C467">INDEX(Rankings!$E467:$E473, MATCH(1, (Rankings!$D467:$D473=$A467)*(Rankings!$U467:$U473=TRUE()), 0))</f>
        <v>Logan</v>
      </c>
      <c r="D467" s="111">
        <f>A467</f>
        <v>46066</v>
      </c>
      <c r="E467" s="113" t="str">
        <f>$K$1</f>
        <v>Logan</v>
      </c>
      <c r="F467" s="115">
        <f>IFERROR(AVERAGE(Rankings!$K467:$R467), "TBD")</f>
        <v>2.428571429</v>
      </c>
      <c r="G467" s="115">
        <f>IFERROR(_xlfn.STDEV.P(Rankings!$K467:$R467), "TBD")</f>
        <v>1.178030179</v>
      </c>
      <c r="H467" s="117">
        <f>IFERROR(AVERAGE(Rankings!$L467:$R467), "TBD")</f>
        <v>2.666666667</v>
      </c>
      <c r="I467" s="119" t="s">
        <v>434</v>
      </c>
      <c r="J467" s="119" t="s">
        <v>1256</v>
      </c>
      <c r="K467" s="120">
        <v>1.0</v>
      </c>
      <c r="L467" s="121">
        <v>2.0</v>
      </c>
      <c r="M467" s="121">
        <v>2.0</v>
      </c>
      <c r="N467" s="121">
        <v>2.0</v>
      </c>
      <c r="O467" s="121">
        <v>2.0</v>
      </c>
      <c r="P467" s="121">
        <v>5.0</v>
      </c>
      <c r="Q467" s="445">
        <v>3.0</v>
      </c>
      <c r="R467" s="446"/>
      <c r="S467" s="401">
        <f>IF(ISTEXT($V467), "TBD", RANK(V467,$V467:$V473))</f>
        <v>1</v>
      </c>
      <c r="T467" s="217">
        <v>1.0</v>
      </c>
      <c r="U467" s="217" t="b">
        <f>Rankings!$S467=Rankings!$T467</f>
        <v>1</v>
      </c>
      <c r="V467" s="443">
        <f>IF(ISTEXT(Rankings!F467), "TBD", (RANK($F467,$F467:$F473) + IF(ISTEXT($H467), 0, (RANK($H467,$H467:$H473)/10)) + (RANK($G467,$G467:$G473)/100)))</f>
        <v>7.76</v>
      </c>
      <c r="W467" s="259"/>
    </row>
    <row r="468" ht="15.0" customHeight="1">
      <c r="A468" s="134"/>
      <c r="B468" s="134"/>
      <c r="C468" s="134"/>
      <c r="D468" s="219">
        <f>D467</f>
        <v>46066</v>
      </c>
      <c r="E468" s="138" t="str">
        <f>$L$1</f>
        <v>Parker</v>
      </c>
      <c r="F468" s="220">
        <f>IFERROR(AVERAGE(Rankings!$K468:$R468), "TBD")</f>
        <v>4.428571429</v>
      </c>
      <c r="G468" s="220">
        <f>IFERROR(_xlfn.STDEV.P(Rankings!$K468:$R468), "TBD")</f>
        <v>1.498298355</v>
      </c>
      <c r="H468" s="221">
        <f>IFERROR(AVERAGE(Rankings!$K468, Rankings!$M468:$R468), "TBD")</f>
        <v>4.333333333</v>
      </c>
      <c r="I468" s="222" t="s">
        <v>1257</v>
      </c>
      <c r="J468" s="222" t="s">
        <v>1258</v>
      </c>
      <c r="K468" s="143">
        <v>2.0</v>
      </c>
      <c r="L468" s="144">
        <v>5.0</v>
      </c>
      <c r="M468" s="144">
        <v>5.0</v>
      </c>
      <c r="N468" s="144">
        <v>3.0</v>
      </c>
      <c r="O468" s="144">
        <v>5.0</v>
      </c>
      <c r="P468" s="144">
        <v>4.0</v>
      </c>
      <c r="Q468" s="447">
        <v>7.0</v>
      </c>
      <c r="R468" s="448"/>
      <c r="S468" s="405">
        <f>IF(ISTEXT($V468), "TBD", RANK(V468,$V467:$V473))</f>
        <v>4</v>
      </c>
      <c r="T468" s="225">
        <v>1.0</v>
      </c>
      <c r="U468" s="225" t="b">
        <f>Rankings!$S468=Rankings!$T468</f>
        <v>0</v>
      </c>
      <c r="V468" s="443">
        <f>IF(ISTEXT(Rankings!F468), "TBD", (RANK($F468,$F467:$F473) + IF(ISTEXT($H468), 0, (RANK($H468,$H467:$H473)/10)) + (RANK($G468,$G467:$G473)/100)))</f>
        <v>4.45</v>
      </c>
      <c r="W468" s="153"/>
    </row>
    <row r="469" ht="15.0" customHeight="1">
      <c r="A469" s="134"/>
      <c r="B469" s="134"/>
      <c r="C469" s="134"/>
      <c r="D469" s="219">
        <f>D467</f>
        <v>46066</v>
      </c>
      <c r="E469" s="227" t="str">
        <f>$M$1</f>
        <v>Giacomo</v>
      </c>
      <c r="F469" s="220">
        <f>IFERROR(AVERAGE(Rankings!$K469:$R469), "TBD")</f>
        <v>5.142857143</v>
      </c>
      <c r="G469" s="220">
        <f>IFERROR(_xlfn.STDEV.P(Rankings!$K469:$R469), "TBD")</f>
        <v>1.124858268</v>
      </c>
      <c r="H469" s="221">
        <f>IFERROR(AVERAGE(Rankings!$K469:$L469, Rankings!$N469:$R469), "TBD")</f>
        <v>5.333333333</v>
      </c>
      <c r="I469" s="222" t="s">
        <v>1259</v>
      </c>
      <c r="J469" s="222" t="s">
        <v>1260</v>
      </c>
      <c r="K469" s="143">
        <v>4.0</v>
      </c>
      <c r="L469" s="144">
        <v>4.0</v>
      </c>
      <c r="M469" s="144">
        <v>4.0</v>
      </c>
      <c r="N469" s="144">
        <v>5.0</v>
      </c>
      <c r="O469" s="144">
        <v>7.0</v>
      </c>
      <c r="P469" s="144">
        <v>6.0</v>
      </c>
      <c r="Q469" s="447">
        <v>6.0</v>
      </c>
      <c r="R469" s="448"/>
      <c r="S469" s="405">
        <f>IF(ISTEXT($V469), "TBD", RANK(V469,$V467:$V473))</f>
        <v>7</v>
      </c>
      <c r="T469" s="225">
        <v>1.0</v>
      </c>
      <c r="U469" s="225" t="b">
        <f>Rankings!$S469=Rankings!$T469</f>
        <v>0</v>
      </c>
      <c r="V469" s="443">
        <f>IF(ISTEXT(Rankings!F469), "TBD", (RANK($F469,$F467:$F473) + IF(ISTEXT($H469), 0, (RANK($H469,$H467:$H473)/10)) + (RANK($G469,$G467:$G473)/100)))</f>
        <v>1.17</v>
      </c>
      <c r="W469" s="153"/>
    </row>
    <row r="470" ht="15.0" customHeight="1">
      <c r="A470" s="134"/>
      <c r="B470" s="134"/>
      <c r="C470" s="134"/>
      <c r="D470" s="219">
        <f>D467</f>
        <v>46066</v>
      </c>
      <c r="E470" s="227" t="str">
        <f>$N$1</f>
        <v>Rosey</v>
      </c>
      <c r="F470" s="220">
        <f>IFERROR(AVERAGE(Rankings!$K470:$R470), "TBD")</f>
        <v>4.571428571</v>
      </c>
      <c r="G470" s="220">
        <f>IFERROR(_xlfn.STDEV.P(Rankings!$K470:$R470), "TBD")</f>
        <v>2.610809555</v>
      </c>
      <c r="H470" s="221">
        <f>IFERROR(AVERAGE(Rankings!$K470:$M470, Rankings!$O470:$R470), "TBD")</f>
        <v>5.166666667</v>
      </c>
      <c r="I470" s="222" t="s">
        <v>1261</v>
      </c>
      <c r="J470" s="222" t="s">
        <v>1262</v>
      </c>
      <c r="K470" s="143">
        <v>3.0</v>
      </c>
      <c r="L470" s="144">
        <v>7.0</v>
      </c>
      <c r="M470" s="144">
        <v>7.0</v>
      </c>
      <c r="N470" s="144">
        <v>1.0</v>
      </c>
      <c r="O470" s="144">
        <v>6.0</v>
      </c>
      <c r="P470" s="144">
        <v>7.0</v>
      </c>
      <c r="Q470" s="447">
        <v>1.0</v>
      </c>
      <c r="R470" s="448"/>
      <c r="S470" s="405">
        <f>IF(ISTEXT($V470), "TBD", RANK(V470,$V467:$V473))</f>
        <v>5</v>
      </c>
      <c r="T470" s="225">
        <v>1.0</v>
      </c>
      <c r="U470" s="225" t="b">
        <f>Rankings!$S470=Rankings!$T470</f>
        <v>0</v>
      </c>
      <c r="V470" s="443">
        <f>IF(ISTEXT(Rankings!F470), "TBD", (RANK($F470,$F467:$F473) + IF(ISTEXT($H470), 0, (RANK($H470,$H467:$H473)/10)) + (RANK($G470,$G467:$G473)/100)))</f>
        <v>3.21</v>
      </c>
      <c r="W470" s="153"/>
    </row>
    <row r="471" ht="15.0" customHeight="1">
      <c r="A471" s="134"/>
      <c r="B471" s="134"/>
      <c r="C471" s="134"/>
      <c r="D471" s="219">
        <f t="shared" ref="D471:D473" si="69">D467</f>
        <v>46066</v>
      </c>
      <c r="E471" s="227" t="str">
        <f>$O$1</f>
        <v>TTAC</v>
      </c>
      <c r="F471" s="220">
        <f>IFERROR(AVERAGE(Rankings!$K471:$R471), "TBD")</f>
        <v>2.857142857</v>
      </c>
      <c r="G471" s="220">
        <f>IFERROR(_xlfn.STDEV.P(Rankings!$K471:$R471), "TBD")</f>
        <v>2.166535841</v>
      </c>
      <c r="H471" s="221">
        <f>IFERROR(AVERAGE(Rankings!$K471:$N471, Rankings!$P471:$R471), "TBD")</f>
        <v>3.166666667</v>
      </c>
      <c r="I471" s="222" t="s">
        <v>1263</v>
      </c>
      <c r="J471" s="222" t="s">
        <v>274</v>
      </c>
      <c r="K471" s="143">
        <v>5.0</v>
      </c>
      <c r="L471" s="144">
        <v>1.0</v>
      </c>
      <c r="M471" s="144">
        <v>1.0</v>
      </c>
      <c r="N471" s="144">
        <v>6.0</v>
      </c>
      <c r="O471" s="144">
        <v>1.0</v>
      </c>
      <c r="P471" s="144">
        <v>1.0</v>
      </c>
      <c r="Q471" s="447">
        <v>5.0</v>
      </c>
      <c r="R471" s="448"/>
      <c r="S471" s="405">
        <f>IF(ISTEXT($V471), "TBD", RANK(V471,$V467:$V473))</f>
        <v>2</v>
      </c>
      <c r="T471" s="225">
        <v>1.0</v>
      </c>
      <c r="U471" s="225" t="b">
        <f>Rankings!$S471=Rankings!$T471</f>
        <v>0</v>
      </c>
      <c r="V471" s="443">
        <f>IF(ISTEXT(Rankings!F471), "TBD", (RANK($F471,$F467:$F473) + IF(ISTEXT($H471), 0, (RANK($H471,$H467:$H473)/10)) + (RANK($G471,$G467:$G473)/100)))</f>
        <v>6.62</v>
      </c>
      <c r="W471" s="153"/>
    </row>
    <row r="472" ht="15.0" customHeight="1">
      <c r="A472" s="134"/>
      <c r="B472" s="134"/>
      <c r="C472" s="134"/>
      <c r="D472" s="219">
        <f t="shared" si="69"/>
        <v>46066</v>
      </c>
      <c r="E472" s="227" t="str">
        <f>$P$1</f>
        <v>Weston</v>
      </c>
      <c r="F472" s="220">
        <f>IFERROR(AVERAGE(Rankings!$K472:$R472), "TBD")</f>
        <v>4.714285714</v>
      </c>
      <c r="G472" s="220">
        <f>IFERROR(_xlfn.STDEV.P(Rankings!$K472:$R472), "TBD")</f>
        <v>1.577908717</v>
      </c>
      <c r="H472" s="221">
        <f>IFERROR(AVERAGE(Rankings!$K472:$O472, Rankings!$Q472:$R472), "TBD")</f>
        <v>5.166666667</v>
      </c>
      <c r="I472" s="222" t="s">
        <v>1264</v>
      </c>
      <c r="J472" s="222" t="s">
        <v>484</v>
      </c>
      <c r="K472" s="143">
        <v>7.0</v>
      </c>
      <c r="L472" s="144">
        <v>6.0</v>
      </c>
      <c r="M472" s="144">
        <v>6.0</v>
      </c>
      <c r="N472" s="144">
        <v>4.0</v>
      </c>
      <c r="O472" s="144">
        <v>4.0</v>
      </c>
      <c r="P472" s="144">
        <v>2.0</v>
      </c>
      <c r="Q472" s="447">
        <v>4.0</v>
      </c>
      <c r="R472" s="448"/>
      <c r="S472" s="405">
        <f>IF(ISTEXT($V472), "TBD", RANK(V472,$V467:$V473))</f>
        <v>6</v>
      </c>
      <c r="T472" s="449">
        <v>1.0</v>
      </c>
      <c r="U472" s="225" t="b">
        <f>Rankings!$S472=Rankings!$T472</f>
        <v>0</v>
      </c>
      <c r="V472" s="443">
        <f>IF(ISTEXT(Rankings!F472), "TBD", (RANK($F472,$F467:$F473) + IF(ISTEXT($H472), 0, (RANK($H472,$H467:$H473)/10)) + (RANK($G472,$G467:$G473)/100)))</f>
        <v>2.24</v>
      </c>
      <c r="W472" s="153"/>
    </row>
    <row r="473" ht="15.0" customHeight="1">
      <c r="A473" s="189"/>
      <c r="B473" s="189"/>
      <c r="C473" s="189"/>
      <c r="D473" s="219">
        <f t="shared" si="69"/>
        <v>46066</v>
      </c>
      <c r="E473" s="131" t="str">
        <f>$Q$1</f>
        <v>Flocco</v>
      </c>
      <c r="F473" s="220">
        <f>IFERROR(AVERAGE(Rankings!$K473:$R473), "TBD")</f>
        <v>3.857142857</v>
      </c>
      <c r="G473" s="220">
        <f>IFERROR(_xlfn.STDEV.P(Rankings!$K473:$R473), "TBD")</f>
        <v>1.726149425</v>
      </c>
      <c r="H473" s="221">
        <f>IFERROR(AVERAGE(Rankings!$K473:$P473, Rankings!$R473), "TBD")</f>
        <v>4.166666667</v>
      </c>
      <c r="I473" s="222" t="s">
        <v>358</v>
      </c>
      <c r="J473" s="222" t="s">
        <v>1265</v>
      </c>
      <c r="K473" s="143">
        <v>6.0</v>
      </c>
      <c r="L473" s="144">
        <v>3.0</v>
      </c>
      <c r="M473" s="144">
        <v>3.0</v>
      </c>
      <c r="N473" s="144">
        <v>7.0</v>
      </c>
      <c r="O473" s="144">
        <v>3.0</v>
      </c>
      <c r="P473" s="144">
        <v>3.0</v>
      </c>
      <c r="Q473" s="447">
        <v>2.0</v>
      </c>
      <c r="R473" s="448"/>
      <c r="S473" s="405">
        <f>IF(ISTEXT($V473), "TBD", RANK(V473,$V467:$V473))</f>
        <v>3</v>
      </c>
      <c r="T473" s="449">
        <v>1.0</v>
      </c>
      <c r="U473" s="225" t="b">
        <f>Rankings!$S473=Rankings!$T473</f>
        <v>0</v>
      </c>
      <c r="V473" s="443">
        <f>IF(ISTEXT(Rankings!F473), "TBD", (RANK($F473,$F467:$F473) + IF(ISTEXT($H473), 0, (RANK($H473,$H467:$H473)/10)) + (RANK($G473,$G467:$G473)/100)))</f>
        <v>5.53</v>
      </c>
      <c r="W473" s="208"/>
    </row>
    <row r="474" ht="15.0" customHeight="1">
      <c r="A474" s="103">
        <v>46069.0</v>
      </c>
      <c r="B474" s="104"/>
      <c r="C474" s="104" t="str">
        <f t="array" ref="C474">INDEX(Rankings!$E474:$E480, MATCH(1, (Rankings!$D474:$D480=$A474)*(Rankings!$U474:$U480=TRUE()), 0))</f>
        <v>Weston</v>
      </c>
      <c r="D474" s="111">
        <f>A474</f>
        <v>46069</v>
      </c>
      <c r="E474" s="113" t="str">
        <f>$K$1</f>
        <v>Logan</v>
      </c>
      <c r="F474" s="115">
        <f>IFERROR(AVERAGE(Rankings!$K474:$R474), "TBD")</f>
        <v>5.571428571</v>
      </c>
      <c r="G474" s="115">
        <f>IFERROR(_xlfn.STDEV.P(Rankings!$K474:$R474), "TBD")</f>
        <v>1.761261144</v>
      </c>
      <c r="H474" s="117">
        <f>IFERROR(AVERAGE(Rankings!$L474:$R474), "TBD")</f>
        <v>6</v>
      </c>
      <c r="I474" s="119" t="s">
        <v>1266</v>
      </c>
      <c r="J474" s="119" t="s">
        <v>1267</v>
      </c>
      <c r="K474" s="120">
        <v>3.0</v>
      </c>
      <c r="L474" s="121">
        <v>7.0</v>
      </c>
      <c r="M474" s="121">
        <v>3.0</v>
      </c>
      <c r="N474" s="121">
        <v>5.0</v>
      </c>
      <c r="O474" s="121">
        <v>7.0</v>
      </c>
      <c r="P474" s="121">
        <v>7.0</v>
      </c>
      <c r="Q474" s="445">
        <v>7.0</v>
      </c>
      <c r="R474" s="446"/>
      <c r="S474" s="401">
        <f>IF(ISTEXT($V474), "TBD", RANK(V474,$V474:$V480))</f>
        <v>7</v>
      </c>
      <c r="T474" s="217">
        <v>1.0</v>
      </c>
      <c r="U474" s="217" t="b">
        <f>Rankings!$S474=Rankings!$T474</f>
        <v>0</v>
      </c>
      <c r="V474" s="443">
        <f>IF(ISTEXT(Rankings!F474), "TBD", (RANK($F474,$F474:$F480) + IF(ISTEXT($H474), 0, (RANK($H474,$H474:$H480)/10)) + (RANK($G474,$G474:$G480)/100)))</f>
        <v>1.15</v>
      </c>
      <c r="W474" s="259"/>
    </row>
    <row r="475" ht="15.0" customHeight="1">
      <c r="A475" s="134"/>
      <c r="B475" s="134"/>
      <c r="C475" s="134"/>
      <c r="D475" s="219">
        <f>D474</f>
        <v>46069</v>
      </c>
      <c r="E475" s="138" t="str">
        <f>$L$1</f>
        <v>Parker</v>
      </c>
      <c r="F475" s="220">
        <f>IFERROR(AVERAGE(Rankings!$K475:$R475), "TBD")</f>
        <v>3.571428571</v>
      </c>
      <c r="G475" s="220">
        <f>IFERROR(_xlfn.STDEV.P(Rankings!$K475:$R475), "TBD")</f>
        <v>1.840585532</v>
      </c>
      <c r="H475" s="221">
        <f>IFERROR(AVERAGE(Rankings!$K475, Rankings!$M475:$R475), "TBD")</f>
        <v>3.666666667</v>
      </c>
      <c r="I475" s="222" t="s">
        <v>1268</v>
      </c>
      <c r="J475" s="222" t="s">
        <v>1269</v>
      </c>
      <c r="K475" s="143">
        <v>5.0</v>
      </c>
      <c r="L475" s="144">
        <v>3.0</v>
      </c>
      <c r="M475" s="144">
        <v>4.0</v>
      </c>
      <c r="N475" s="144">
        <v>7.0</v>
      </c>
      <c r="O475" s="144">
        <v>3.0</v>
      </c>
      <c r="P475" s="144">
        <v>2.0</v>
      </c>
      <c r="Q475" s="447">
        <v>1.0</v>
      </c>
      <c r="R475" s="448"/>
      <c r="S475" s="405">
        <f>IF(ISTEXT($V475), "TBD", RANK(V475,$V474:$V480))</f>
        <v>2</v>
      </c>
      <c r="T475" s="225">
        <v>1.0</v>
      </c>
      <c r="U475" s="225" t="b">
        <f>Rankings!$S475=Rankings!$T475</f>
        <v>0</v>
      </c>
      <c r="V475" s="443">
        <f>IF(ISTEXT(Rankings!F475), "TBD", (RANK($F475,$F474:$F480) + IF(ISTEXT($H475), 0, (RANK($H475,$H474:$H480)/10)) + (RANK($G475,$G474:$G480)/100)))</f>
        <v>6.63</v>
      </c>
      <c r="W475" s="153"/>
    </row>
    <row r="476" ht="15.0" customHeight="1">
      <c r="A476" s="134"/>
      <c r="B476" s="134"/>
      <c r="C476" s="134"/>
      <c r="D476" s="219">
        <f>D474</f>
        <v>46069</v>
      </c>
      <c r="E476" s="227" t="str">
        <f>$M$1</f>
        <v>Giacomo</v>
      </c>
      <c r="F476" s="220">
        <f>IFERROR(AVERAGE(Rankings!$K476:$R476), "TBD")</f>
        <v>3.857142857</v>
      </c>
      <c r="G476" s="220">
        <f>IFERROR(_xlfn.STDEV.P(Rankings!$K476:$R476), "TBD")</f>
        <v>1.958758457</v>
      </c>
      <c r="H476" s="221">
        <f>IFERROR(AVERAGE(Rankings!$K476:$L476, Rankings!$N476:$R476), "TBD")</f>
        <v>4.166666667</v>
      </c>
      <c r="I476" s="222" t="s">
        <v>1270</v>
      </c>
      <c r="J476" s="222" t="s">
        <v>1271</v>
      </c>
      <c r="K476" s="143">
        <v>7.0</v>
      </c>
      <c r="L476" s="144">
        <v>1.0</v>
      </c>
      <c r="M476" s="144">
        <v>2.0</v>
      </c>
      <c r="N476" s="144">
        <v>6.0</v>
      </c>
      <c r="O476" s="144">
        <v>4.0</v>
      </c>
      <c r="P476" s="144">
        <v>3.0</v>
      </c>
      <c r="Q476" s="447">
        <v>4.0</v>
      </c>
      <c r="R476" s="448"/>
      <c r="S476" s="405">
        <f>IF(ISTEXT($V476), "TBD", RANK(V476,$V474:$V480))</f>
        <v>4</v>
      </c>
      <c r="T476" s="225">
        <v>1.0</v>
      </c>
      <c r="U476" s="225" t="b">
        <f>Rankings!$S476=Rankings!$T476</f>
        <v>0</v>
      </c>
      <c r="V476" s="443">
        <f>IF(ISTEXT(Rankings!F476), "TBD", (RANK($F476,$F474:$F480) + IF(ISTEXT($H476), 0, (RANK($H476,$H474:$H480)/10)) + (RANK($G476,$G474:$G480)/100)))</f>
        <v>4.42</v>
      </c>
      <c r="W476" s="153"/>
    </row>
    <row r="477" ht="15.0" customHeight="1">
      <c r="A477" s="134"/>
      <c r="B477" s="134"/>
      <c r="C477" s="134"/>
      <c r="D477" s="219">
        <f>D474</f>
        <v>46069</v>
      </c>
      <c r="E477" s="227" t="str">
        <f>$N$1</f>
        <v>Rosey</v>
      </c>
      <c r="F477" s="220">
        <f>IFERROR(AVERAGE(Rankings!$K477:$R477), "TBD")</f>
        <v>4.571428571</v>
      </c>
      <c r="G477" s="220">
        <f>IFERROR(_xlfn.STDEV.P(Rankings!$K477:$R477), "TBD")</f>
        <v>1.399708424</v>
      </c>
      <c r="H477" s="221">
        <f>IFERROR(AVERAGE(Rankings!$K477:$M477, Rankings!$O477:$R477), "TBD")</f>
        <v>4.833333333</v>
      </c>
      <c r="I477" s="222" t="s">
        <v>1272</v>
      </c>
      <c r="J477" s="222" t="s">
        <v>1273</v>
      </c>
      <c r="K477" s="143">
        <v>2.0</v>
      </c>
      <c r="L477" s="144">
        <v>6.0</v>
      </c>
      <c r="M477" s="144">
        <v>5.0</v>
      </c>
      <c r="N477" s="144">
        <v>3.0</v>
      </c>
      <c r="O477" s="144">
        <v>5.0</v>
      </c>
      <c r="P477" s="144">
        <v>5.0</v>
      </c>
      <c r="Q477" s="447">
        <v>6.0</v>
      </c>
      <c r="R477" s="448"/>
      <c r="S477" s="405">
        <f>IF(ISTEXT($V477), "TBD", RANK(V477,$V474:$V480))</f>
        <v>6</v>
      </c>
      <c r="T477" s="225">
        <v>1.0</v>
      </c>
      <c r="U477" s="225" t="b">
        <f>Rankings!$S477=Rankings!$T477</f>
        <v>0</v>
      </c>
      <c r="V477" s="443">
        <f>IF(ISTEXT(Rankings!F477), "TBD", (RANK($F477,$F474:$F480) + IF(ISTEXT($H477), 0, (RANK($H477,$H474:$H480)/10)) + (RANK($G477,$G474:$G480)/100)))</f>
        <v>2.26</v>
      </c>
      <c r="W477" s="153"/>
    </row>
    <row r="478" ht="15.0" customHeight="1">
      <c r="A478" s="134"/>
      <c r="B478" s="134"/>
      <c r="C478" s="134"/>
      <c r="D478" s="219">
        <f t="shared" ref="D478:D480" si="70">D474</f>
        <v>46069</v>
      </c>
      <c r="E478" s="227" t="str">
        <f>$O$1</f>
        <v>TTAC</v>
      </c>
      <c r="F478" s="220">
        <f>IFERROR(AVERAGE(Rankings!$K478:$R478), "TBD")</f>
        <v>3.857142857</v>
      </c>
      <c r="G478" s="220">
        <f>IFERROR(_xlfn.STDEV.P(Rankings!$K478:$R478), "TBD")</f>
        <v>1.355261854</v>
      </c>
      <c r="H478" s="221">
        <f>IFERROR(AVERAGE(Rankings!$K478:$N478, Rankings!$P478:$R478), "TBD")</f>
        <v>4.166666667</v>
      </c>
      <c r="I478" s="222" t="s">
        <v>1274</v>
      </c>
      <c r="J478" s="222" t="s">
        <v>1275</v>
      </c>
      <c r="K478" s="143">
        <v>4.0</v>
      </c>
      <c r="L478" s="144">
        <v>2.0</v>
      </c>
      <c r="M478" s="144">
        <v>6.0</v>
      </c>
      <c r="N478" s="144">
        <v>4.0</v>
      </c>
      <c r="O478" s="144">
        <v>2.0</v>
      </c>
      <c r="P478" s="144">
        <v>4.0</v>
      </c>
      <c r="Q478" s="447">
        <v>5.0</v>
      </c>
      <c r="R478" s="448"/>
      <c r="S478" s="405">
        <f>IF(ISTEXT($V478), "TBD", RANK(V478,$V474:$V480))</f>
        <v>3</v>
      </c>
      <c r="T478" s="225">
        <v>1.0</v>
      </c>
      <c r="U478" s="225" t="b">
        <f>Rankings!$S478=Rankings!$T478</f>
        <v>0</v>
      </c>
      <c r="V478" s="443">
        <f>IF(ISTEXT(Rankings!F478), "TBD", (RANK($F478,$F474:$F480) + IF(ISTEXT($H478), 0, (RANK($H478,$H474:$H480)/10)) + (RANK($G478,$G474:$G480)/100)))</f>
        <v>4.47</v>
      </c>
      <c r="W478" s="153"/>
    </row>
    <row r="479" ht="15.0" customHeight="1">
      <c r="A479" s="134"/>
      <c r="B479" s="134"/>
      <c r="C479" s="134"/>
      <c r="D479" s="219">
        <f t="shared" si="70"/>
        <v>46069</v>
      </c>
      <c r="E479" s="227" t="str">
        <f>$P$1</f>
        <v>Weston</v>
      </c>
      <c r="F479" s="220">
        <f>IFERROR(AVERAGE(Rankings!$K479:$R479), "TBD")</f>
        <v>2.428571429</v>
      </c>
      <c r="G479" s="220">
        <f>IFERROR(_xlfn.STDEV.P(Rankings!$K479:$R479), "TBD")</f>
        <v>1.840585532</v>
      </c>
      <c r="H479" s="221">
        <f>IFERROR(AVERAGE(Rankings!$K479:$O479, Rankings!$Q479:$R479), "TBD")</f>
        <v>2.666666667</v>
      </c>
      <c r="I479" s="222" t="s">
        <v>433</v>
      </c>
      <c r="J479" s="222" t="s">
        <v>1276</v>
      </c>
      <c r="K479" s="143">
        <v>1.0</v>
      </c>
      <c r="L479" s="144">
        <v>4.0</v>
      </c>
      <c r="M479" s="144">
        <v>1.0</v>
      </c>
      <c r="N479" s="144">
        <v>1.0</v>
      </c>
      <c r="O479" s="144">
        <v>6.0</v>
      </c>
      <c r="P479" s="144">
        <v>1.0</v>
      </c>
      <c r="Q479" s="447">
        <v>3.0</v>
      </c>
      <c r="R479" s="448"/>
      <c r="S479" s="405">
        <f>IF(ISTEXT($V479), "TBD", RANK(V479,$V474:$V480))</f>
        <v>1</v>
      </c>
      <c r="T479" s="449">
        <v>1.0</v>
      </c>
      <c r="U479" s="225" t="b">
        <f>Rankings!$S479=Rankings!$T479</f>
        <v>1</v>
      </c>
      <c r="V479" s="443">
        <f>IF(ISTEXT(Rankings!F479), "TBD", (RANK($F479,$F474:$F480) + IF(ISTEXT($H479), 0, (RANK($H479,$H474:$H480)/10)) + (RANK($G479,$G474:$G480)/100)))</f>
        <v>7.73</v>
      </c>
      <c r="W479" s="153"/>
    </row>
    <row r="480" ht="15.0" customHeight="1">
      <c r="A480" s="189"/>
      <c r="B480" s="189"/>
      <c r="C480" s="189"/>
      <c r="D480" s="219">
        <f t="shared" si="70"/>
        <v>46069</v>
      </c>
      <c r="E480" s="131" t="str">
        <f>$Q$1</f>
        <v>Flocco</v>
      </c>
      <c r="F480" s="220">
        <f>IFERROR(AVERAGE(Rankings!$K480:$R480), "TBD")</f>
        <v>4.142857143</v>
      </c>
      <c r="G480" s="220">
        <f>IFERROR(_xlfn.STDEV.P(Rankings!$K480:$R480), "TBD")</f>
        <v>2.231499907</v>
      </c>
      <c r="H480" s="221">
        <f>IFERROR(AVERAGE(Rankings!$K480:$P480, Rankings!$R480), "TBD")</f>
        <v>4.5</v>
      </c>
      <c r="I480" s="222" t="s">
        <v>1277</v>
      </c>
      <c r="J480" s="222" t="s">
        <v>1278</v>
      </c>
      <c r="K480" s="143">
        <v>6.0</v>
      </c>
      <c r="L480" s="144">
        <v>5.0</v>
      </c>
      <c r="M480" s="144">
        <v>7.0</v>
      </c>
      <c r="N480" s="144">
        <v>2.0</v>
      </c>
      <c r="O480" s="144">
        <v>1.0</v>
      </c>
      <c r="P480" s="144">
        <v>6.0</v>
      </c>
      <c r="Q480" s="447">
        <v>2.0</v>
      </c>
      <c r="R480" s="448"/>
      <c r="S480" s="405">
        <f>IF(ISTEXT($V480), "TBD", RANK(V480,$V474:$V480))</f>
        <v>5</v>
      </c>
      <c r="T480" s="449">
        <v>1.0</v>
      </c>
      <c r="U480" s="225" t="b">
        <f>Rankings!$S480=Rankings!$T480</f>
        <v>0</v>
      </c>
      <c r="V480" s="443">
        <f>IF(ISTEXT(Rankings!F480), "TBD", (RANK($F480,$F474:$F480) + IF(ISTEXT($H480), 0, (RANK($H480,$H474:$H480)/10)) + (RANK($G480,$G474:$G480)/100)))</f>
        <v>3.31</v>
      </c>
      <c r="W480" s="208"/>
    </row>
    <row r="481" ht="15.0" customHeight="1">
      <c r="A481" s="103">
        <v>46071.0</v>
      </c>
      <c r="B481" s="104"/>
      <c r="C481" s="104" t="str">
        <f t="array" ref="C481">INDEX(Rankings!$E481:$E487, MATCH(1, (Rankings!$D481:$D487=$A481)*(Rankings!$U481:$U487=TRUE()), 0))</f>
        <v>Weston</v>
      </c>
      <c r="D481" s="111">
        <f>A481</f>
        <v>46071</v>
      </c>
      <c r="E481" s="113" t="str">
        <f>$K$1</f>
        <v>Logan</v>
      </c>
      <c r="F481" s="115">
        <f>IFERROR(AVERAGE(Rankings!$K481:$R481), "TBD")</f>
        <v>3.857142857</v>
      </c>
      <c r="G481" s="115">
        <f>IFERROR(_xlfn.STDEV.P(Rankings!$K481:$R481), "TBD")</f>
        <v>1.456862718</v>
      </c>
      <c r="H481" s="117">
        <f>IFERROR(AVERAGE(Rankings!$L481:$R481), "TBD")</f>
        <v>4.166666667</v>
      </c>
      <c r="I481" s="119" t="s">
        <v>1279</v>
      </c>
      <c r="J481" s="119" t="s">
        <v>1280</v>
      </c>
      <c r="K481" s="120">
        <v>2.0</v>
      </c>
      <c r="L481" s="121">
        <v>4.0</v>
      </c>
      <c r="M481" s="121">
        <v>4.0</v>
      </c>
      <c r="N481" s="121">
        <v>3.0</v>
      </c>
      <c r="O481" s="121">
        <v>7.0</v>
      </c>
      <c r="P481" s="121">
        <v>3.0</v>
      </c>
      <c r="Q481" s="445">
        <v>4.0</v>
      </c>
      <c r="R481" s="446"/>
      <c r="S481" s="401">
        <f>IF(ISTEXT($V481), "TBD", RANK(V481,$V481:$V487))</f>
        <v>4</v>
      </c>
      <c r="T481" s="217">
        <v>1.0</v>
      </c>
      <c r="U481" s="217" t="b">
        <f>Rankings!$S481=Rankings!$T481</f>
        <v>0</v>
      </c>
      <c r="V481" s="443">
        <f>IF(ISTEXT(Rankings!F481), "TBD", (RANK($F481,$F481:$F487) + IF(ISTEXT($H481), 0, (RANK($H481,$H481:$H487)/10)) + (RANK($G481,$G481:$G487)/100)))</f>
        <v>4.46</v>
      </c>
      <c r="W481" s="259"/>
    </row>
    <row r="482" ht="15.0" customHeight="1">
      <c r="A482" s="134"/>
      <c r="B482" s="134"/>
      <c r="C482" s="134"/>
      <c r="D482" s="219">
        <f>D481</f>
        <v>46071</v>
      </c>
      <c r="E482" s="138" t="str">
        <f>$L$1</f>
        <v>Parker</v>
      </c>
      <c r="F482" s="220">
        <f>IFERROR(AVERAGE(Rankings!$K482:$R482), "TBD")</f>
        <v>4.285714286</v>
      </c>
      <c r="G482" s="220">
        <f>IFERROR(_xlfn.STDEV.P(Rankings!$K482:$R482), "TBD")</f>
        <v>1.577908717</v>
      </c>
      <c r="H482" s="221">
        <f>IFERROR(AVERAGE(Rankings!$K482, Rankings!$M482:$R482), "TBD")</f>
        <v>4.666666667</v>
      </c>
      <c r="I482" s="222" t="s">
        <v>1281</v>
      </c>
      <c r="J482" s="222" t="s">
        <v>1282</v>
      </c>
      <c r="K482" s="143">
        <v>6.0</v>
      </c>
      <c r="L482" s="144">
        <v>2.0</v>
      </c>
      <c r="M482" s="144">
        <v>2.0</v>
      </c>
      <c r="N482" s="144">
        <v>5.0</v>
      </c>
      <c r="O482" s="144">
        <v>4.0</v>
      </c>
      <c r="P482" s="144">
        <v>6.0</v>
      </c>
      <c r="Q482" s="447">
        <v>5.0</v>
      </c>
      <c r="R482" s="448"/>
      <c r="S482" s="405">
        <f>IF(ISTEXT($V482), "TBD", RANK(V482,$V481:$V487))</f>
        <v>5</v>
      </c>
      <c r="T482" s="225">
        <v>1.0</v>
      </c>
      <c r="U482" s="225" t="b">
        <f>Rankings!$S482=Rankings!$T482</f>
        <v>0</v>
      </c>
      <c r="V482" s="443">
        <f>IF(ISTEXT(Rankings!F482), "TBD", (RANK($F482,$F481:$F487) + IF(ISTEXT($H482), 0, (RANK($H482,$H481:$H487)/10)) + (RANK($G482,$G481:$G487)/100)))</f>
        <v>3.35</v>
      </c>
      <c r="W482" s="153"/>
    </row>
    <row r="483" ht="15.0" customHeight="1">
      <c r="A483" s="134"/>
      <c r="B483" s="134"/>
      <c r="C483" s="134"/>
      <c r="D483" s="219">
        <f>D481</f>
        <v>46071</v>
      </c>
      <c r="E483" s="227" t="str">
        <f>$M$1</f>
        <v>Giacomo</v>
      </c>
      <c r="F483" s="220">
        <f>IFERROR(AVERAGE(Rankings!$K483:$R483), "TBD")</f>
        <v>3.571428571</v>
      </c>
      <c r="G483" s="220">
        <f>IFERROR(_xlfn.STDEV.P(Rankings!$K483:$R483), "TBD")</f>
        <v>1.840585532</v>
      </c>
      <c r="H483" s="221">
        <f>IFERROR(AVERAGE(Rankings!$K483:$L483, Rankings!$N483:$R483), "TBD")</f>
        <v>4</v>
      </c>
      <c r="I483" s="222" t="s">
        <v>1283</v>
      </c>
      <c r="J483" s="222" t="s">
        <v>1284</v>
      </c>
      <c r="K483" s="143">
        <v>3.0</v>
      </c>
      <c r="L483" s="144">
        <v>5.0</v>
      </c>
      <c r="M483" s="144">
        <v>1.0</v>
      </c>
      <c r="N483" s="144">
        <v>1.0</v>
      </c>
      <c r="O483" s="144">
        <v>5.0</v>
      </c>
      <c r="P483" s="144">
        <v>4.0</v>
      </c>
      <c r="Q483" s="447">
        <v>6.0</v>
      </c>
      <c r="R483" s="448"/>
      <c r="S483" s="405">
        <f>IF(ISTEXT($V483), "TBD", RANK(V483,$V481:$V487))</f>
        <v>3</v>
      </c>
      <c r="T483" s="225">
        <v>1.0</v>
      </c>
      <c r="U483" s="225" t="b">
        <f>Rankings!$S483=Rankings!$T483</f>
        <v>0</v>
      </c>
      <c r="V483" s="443">
        <f>IF(ISTEXT(Rankings!F483), "TBD", (RANK($F483,$F481:$F487) + IF(ISTEXT($H483), 0, (RANK($H483,$H481:$H487)/10)) + (RANK($G483,$G481:$G487)/100)))</f>
        <v>5.54</v>
      </c>
      <c r="W483" s="153"/>
    </row>
    <row r="484" ht="15.0" customHeight="1">
      <c r="A484" s="134"/>
      <c r="B484" s="134"/>
      <c r="C484" s="134"/>
      <c r="D484" s="219">
        <f>D481</f>
        <v>46071</v>
      </c>
      <c r="E484" s="227" t="str">
        <f>$N$1</f>
        <v>Rosey</v>
      </c>
      <c r="F484" s="220">
        <f>IFERROR(AVERAGE(Rankings!$K484:$R484), "TBD")</f>
        <v>5.571428571</v>
      </c>
      <c r="G484" s="220">
        <f>IFERROR(_xlfn.STDEV.P(Rankings!$K484:$R484), "TBD")</f>
        <v>1.178030179</v>
      </c>
      <c r="H484" s="221">
        <f>IFERROR(AVERAGE(Rankings!$K484:$M484, Rankings!$O484:$R484), "TBD")</f>
        <v>5.833333333</v>
      </c>
      <c r="I484" s="222" t="s">
        <v>1285</v>
      </c>
      <c r="J484" s="222" t="s">
        <v>1286</v>
      </c>
      <c r="K484" s="143">
        <v>4.0</v>
      </c>
      <c r="L484" s="144">
        <v>6.0</v>
      </c>
      <c r="M484" s="144">
        <v>5.0</v>
      </c>
      <c r="N484" s="144">
        <v>4.0</v>
      </c>
      <c r="O484" s="144">
        <v>6.0</v>
      </c>
      <c r="P484" s="144">
        <v>7.0</v>
      </c>
      <c r="Q484" s="447">
        <v>7.0</v>
      </c>
      <c r="R484" s="448"/>
      <c r="S484" s="405">
        <f>IF(ISTEXT($V484), "TBD", RANK(V484,$V481:$V487))</f>
        <v>7</v>
      </c>
      <c r="T484" s="225">
        <v>1.0</v>
      </c>
      <c r="U484" s="225" t="b">
        <f>Rankings!$S484=Rankings!$T484</f>
        <v>0</v>
      </c>
      <c r="V484" s="443">
        <f>IF(ISTEXT(Rankings!F484), "TBD", (RANK($F484,$F481:$F487) + IF(ISTEXT($H484), 0, (RANK($H484,$H481:$H487)/10)) + (RANK($G484,$G481:$G487)/100)))</f>
        <v>1.17</v>
      </c>
      <c r="W484" s="153"/>
    </row>
    <row r="485" ht="15.0" customHeight="1">
      <c r="A485" s="134"/>
      <c r="B485" s="134"/>
      <c r="C485" s="134"/>
      <c r="D485" s="219">
        <f t="shared" ref="D485:D487" si="71">D481</f>
        <v>46071</v>
      </c>
      <c r="E485" s="227" t="str">
        <f>$O$1</f>
        <v>TTAC</v>
      </c>
      <c r="F485" s="220">
        <f>IFERROR(AVERAGE(Rankings!$K485:$R485), "TBD")</f>
        <v>4.857142857</v>
      </c>
      <c r="G485" s="220">
        <f>IFERROR(_xlfn.STDEV.P(Rankings!$K485:$R485), "TBD")</f>
        <v>2.030381486</v>
      </c>
      <c r="H485" s="221">
        <f>IFERROR(AVERAGE(Rankings!$K485:$N485, Rankings!$P485:$R485), "TBD")</f>
        <v>5.333333333</v>
      </c>
      <c r="I485" s="222" t="s">
        <v>1287</v>
      </c>
      <c r="J485" s="222" t="s">
        <v>1288</v>
      </c>
      <c r="K485" s="143">
        <v>7.0</v>
      </c>
      <c r="L485" s="144">
        <v>7.0</v>
      </c>
      <c r="M485" s="144">
        <v>3.0</v>
      </c>
      <c r="N485" s="144">
        <v>7.0</v>
      </c>
      <c r="O485" s="144">
        <v>2.0</v>
      </c>
      <c r="P485" s="144">
        <v>5.0</v>
      </c>
      <c r="Q485" s="447">
        <v>3.0</v>
      </c>
      <c r="R485" s="448"/>
      <c r="S485" s="405">
        <f>IF(ISTEXT($V485), "TBD", RANK(V485,$V481:$V487))</f>
        <v>6</v>
      </c>
      <c r="T485" s="225">
        <v>1.0</v>
      </c>
      <c r="U485" s="225" t="b">
        <f>Rankings!$S485=Rankings!$T485</f>
        <v>0</v>
      </c>
      <c r="V485" s="443">
        <f>IF(ISTEXT(Rankings!F485), "TBD", (RANK($F485,$F481:$F487) + IF(ISTEXT($H485), 0, (RANK($H485,$H481:$H487)/10)) + (RANK($G485,$G481:$G487)/100)))</f>
        <v>2.23</v>
      </c>
      <c r="W485" s="153"/>
    </row>
    <row r="486" ht="15.0" customHeight="1">
      <c r="A486" s="134"/>
      <c r="B486" s="134"/>
      <c r="C486" s="134"/>
      <c r="D486" s="219">
        <f t="shared" si="71"/>
        <v>46071</v>
      </c>
      <c r="E486" s="227" t="str">
        <f>$P$1</f>
        <v>Weston</v>
      </c>
      <c r="F486" s="220">
        <f>IFERROR(AVERAGE(Rankings!$K486:$R486), "TBD")</f>
        <v>2.857142857</v>
      </c>
      <c r="G486" s="220">
        <f>IFERROR(_xlfn.STDEV.P(Rankings!$K486:$R486), "TBD")</f>
        <v>2.099562637</v>
      </c>
      <c r="H486" s="221">
        <f>IFERROR(AVERAGE(Rankings!$K486:$O486, Rankings!$Q486:$R486), "TBD")</f>
        <v>3</v>
      </c>
      <c r="I486" s="222" t="s">
        <v>443</v>
      </c>
      <c r="J486" s="222" t="s">
        <v>1289</v>
      </c>
      <c r="K486" s="143">
        <v>5.0</v>
      </c>
      <c r="L486" s="144">
        <v>1.0</v>
      </c>
      <c r="M486" s="144">
        <v>7.0</v>
      </c>
      <c r="N486" s="144">
        <v>2.0</v>
      </c>
      <c r="O486" s="144">
        <v>1.0</v>
      </c>
      <c r="P486" s="144">
        <v>2.0</v>
      </c>
      <c r="Q486" s="447">
        <v>2.0</v>
      </c>
      <c r="R486" s="448"/>
      <c r="S486" s="405">
        <f>IF(ISTEXT($V486), "TBD", RANK(V486,$V481:$V487))</f>
        <v>1</v>
      </c>
      <c r="T486" s="449">
        <v>1.0</v>
      </c>
      <c r="U486" s="225" t="b">
        <f>Rankings!$S486=Rankings!$T486</f>
        <v>1</v>
      </c>
      <c r="V486" s="443">
        <f>IF(ISTEXT(Rankings!F486), "TBD", (RANK($F486,$F481:$F487) + IF(ISTEXT($H486), 0, (RANK($H486,$H481:$H487)/10)) + (RANK($G486,$G481:$G487)/100)))</f>
        <v>7.71</v>
      </c>
      <c r="W486" s="153"/>
    </row>
    <row r="487" ht="15.0" customHeight="1">
      <c r="A487" s="189"/>
      <c r="B487" s="189"/>
      <c r="C487" s="189"/>
      <c r="D487" s="219">
        <f t="shared" si="71"/>
        <v>46071</v>
      </c>
      <c r="E487" s="131" t="str">
        <f>$Q$1</f>
        <v>Flocco</v>
      </c>
      <c r="F487" s="220">
        <f>IFERROR(AVERAGE(Rankings!$K487:$R487), "TBD")</f>
        <v>3</v>
      </c>
      <c r="G487" s="220">
        <f>IFERROR(_xlfn.STDEV.P(Rankings!$K487:$R487), "TBD")</f>
        <v>2.070196678</v>
      </c>
      <c r="H487" s="221">
        <f>IFERROR(AVERAGE(Rankings!$K487:$P487, Rankings!$R487), "TBD")</f>
        <v>3.333333333</v>
      </c>
      <c r="I487" s="222" t="s">
        <v>1290</v>
      </c>
      <c r="J487" s="222" t="s">
        <v>1291</v>
      </c>
      <c r="K487" s="143">
        <v>1.0</v>
      </c>
      <c r="L487" s="144">
        <v>3.0</v>
      </c>
      <c r="M487" s="144">
        <v>6.0</v>
      </c>
      <c r="N487" s="144">
        <v>6.0</v>
      </c>
      <c r="O487" s="144">
        <v>3.0</v>
      </c>
      <c r="P487" s="144">
        <v>1.0</v>
      </c>
      <c r="Q487" s="447">
        <v>1.0</v>
      </c>
      <c r="R487" s="448"/>
      <c r="S487" s="405">
        <f>IF(ISTEXT($V487), "TBD", RANK(V487,$V481:$V487))</f>
        <v>2</v>
      </c>
      <c r="T487" s="449">
        <v>1.0</v>
      </c>
      <c r="U487" s="225" t="b">
        <f>Rankings!$S487=Rankings!$T487</f>
        <v>0</v>
      </c>
      <c r="V487" s="443">
        <f>IF(ISTEXT(Rankings!F487), "TBD", (RANK($F487,$F481:$F487) + IF(ISTEXT($H487), 0, (RANK($H487,$H481:$H487)/10)) + (RANK($G487,$G481:$G487)/100)))</f>
        <v>6.62</v>
      </c>
      <c r="W487" s="208"/>
    </row>
    <row r="488" ht="15.0" customHeight="1">
      <c r="A488" s="103">
        <v>46073.0</v>
      </c>
      <c r="B488" s="104"/>
      <c r="C488" s="104" t="str">
        <f t="array" ref="C488">INDEX(Rankings!$E488:$E494, MATCH(1, (Rankings!$D488:$D494=$A488)*(Rankings!$U488:$U494=TRUE()), 0))</f>
        <v>Parker</v>
      </c>
      <c r="D488" s="111">
        <f>A488</f>
        <v>46073</v>
      </c>
      <c r="E488" s="113" t="str">
        <f>$K$1</f>
        <v>Logan</v>
      </c>
      <c r="F488" s="115">
        <f>IFERROR(AVERAGE(Rankings!$K488:$R488), "TBD")</f>
        <v>4</v>
      </c>
      <c r="G488" s="115">
        <f>IFERROR(_xlfn.STDEV.P(Rankings!$K488:$R488), "TBD")</f>
        <v>1.511857892</v>
      </c>
      <c r="H488" s="117">
        <f>IFERROR(AVERAGE(Rankings!$L488:$R488), "TBD")</f>
        <v>4.166666667</v>
      </c>
      <c r="I488" s="119" t="s">
        <v>1292</v>
      </c>
      <c r="J488" s="119" t="s">
        <v>1293</v>
      </c>
      <c r="K488" s="120">
        <v>3.0</v>
      </c>
      <c r="L488" s="121">
        <v>4.0</v>
      </c>
      <c r="M488" s="121">
        <v>7.0</v>
      </c>
      <c r="N488" s="121">
        <v>2.0</v>
      </c>
      <c r="O488" s="121">
        <v>4.0</v>
      </c>
      <c r="P488" s="121">
        <v>5.0</v>
      </c>
      <c r="Q488" s="445">
        <v>3.0</v>
      </c>
      <c r="R488" s="446"/>
      <c r="S488" s="401">
        <f>IF(ISTEXT($V488), "TBD", RANK(V488,$V488:$V494))</f>
        <v>5</v>
      </c>
      <c r="T488" s="217">
        <v>1.0</v>
      </c>
      <c r="U488" s="217" t="b">
        <f>Rankings!$S488=Rankings!$T488</f>
        <v>0</v>
      </c>
      <c r="V488" s="443">
        <f>IF(ISTEXT(Rankings!F488), "TBD", (RANK($F488,$F488:$F494) + IF(ISTEXT($H488), 0, (RANK($H488,$H488:$H494)/10)) + (RANK($G488,$G488:$G494)/100)))</f>
        <v>3.36</v>
      </c>
      <c r="W488" s="259"/>
    </row>
    <row r="489" ht="15.0" customHeight="1">
      <c r="A489" s="134"/>
      <c r="B489" s="134"/>
      <c r="C489" s="134"/>
      <c r="D489" s="219">
        <f>D488</f>
        <v>46073</v>
      </c>
      <c r="E489" s="138" t="str">
        <f>$L$1</f>
        <v>Parker</v>
      </c>
      <c r="F489" s="220">
        <f>IFERROR(AVERAGE(Rankings!$K489:$R489), "TBD")</f>
        <v>2.428571429</v>
      </c>
      <c r="G489" s="220">
        <f>IFERROR(_xlfn.STDEV.P(Rankings!$K489:$R489), "TBD")</f>
        <v>1.916629695</v>
      </c>
      <c r="H489" s="221">
        <f>IFERROR(AVERAGE(Rankings!$K489, Rankings!$M489:$R489), "TBD")</f>
        <v>2.666666667</v>
      </c>
      <c r="I489" s="222" t="s">
        <v>53</v>
      </c>
      <c r="J489" s="222" t="s">
        <v>1294</v>
      </c>
      <c r="K489" s="143">
        <v>2.0</v>
      </c>
      <c r="L489" s="144">
        <v>1.0</v>
      </c>
      <c r="M489" s="144">
        <v>2.0</v>
      </c>
      <c r="N489" s="144">
        <v>7.0</v>
      </c>
      <c r="O489" s="144">
        <v>2.0</v>
      </c>
      <c r="P489" s="144">
        <v>2.0</v>
      </c>
      <c r="Q489" s="447">
        <v>1.0</v>
      </c>
      <c r="R489" s="448"/>
      <c r="S489" s="405">
        <f>IF(ISTEXT($V489), "TBD", RANK(V489,$V488:$V494))</f>
        <v>1</v>
      </c>
      <c r="T489" s="225">
        <v>1.0</v>
      </c>
      <c r="U489" s="225" t="b">
        <f>Rankings!$S489=Rankings!$T489</f>
        <v>1</v>
      </c>
      <c r="V489" s="443">
        <f>IF(ISTEXT(Rankings!F489), "TBD", (RANK($F489,$F488:$F494) + IF(ISTEXT($H489), 0, (RANK($H489,$H488:$H494)/10)) + (RANK($G489,$G488:$G494)/100)))</f>
        <v>7.72</v>
      </c>
      <c r="W489" s="153"/>
    </row>
    <row r="490" ht="15.0" customHeight="1">
      <c r="A490" s="134"/>
      <c r="B490" s="134"/>
      <c r="C490" s="134"/>
      <c r="D490" s="219">
        <f>D488</f>
        <v>46073</v>
      </c>
      <c r="E490" s="227" t="str">
        <f>$M$1</f>
        <v>Giacomo</v>
      </c>
      <c r="F490" s="220">
        <f>IFERROR(AVERAGE(Rankings!$K490:$R490), "TBD")</f>
        <v>3.714285714</v>
      </c>
      <c r="G490" s="220">
        <f>IFERROR(_xlfn.STDEV.P(Rankings!$K490:$R490), "TBD")</f>
        <v>2.185294077</v>
      </c>
      <c r="H490" s="221">
        <f>IFERROR(AVERAGE(Rankings!$K490:$L490, Rankings!$N490:$R490), "TBD")</f>
        <v>4.166666667</v>
      </c>
      <c r="I490" s="222" t="s">
        <v>1295</v>
      </c>
      <c r="J490" s="222" t="s">
        <v>1296</v>
      </c>
      <c r="K490" s="131">
        <v>1.0</v>
      </c>
      <c r="L490" s="144">
        <v>3.0</v>
      </c>
      <c r="M490" s="144">
        <v>1.0</v>
      </c>
      <c r="N490" s="144">
        <v>5.0</v>
      </c>
      <c r="O490" s="144">
        <v>7.0</v>
      </c>
      <c r="P490" s="144">
        <v>3.0</v>
      </c>
      <c r="Q490" s="447">
        <v>6.0</v>
      </c>
      <c r="R490" s="448"/>
      <c r="S490" s="405">
        <f>IF(ISTEXT($V490), "TBD", RANK(V490,$V488:$V494))</f>
        <v>4</v>
      </c>
      <c r="T490" s="225">
        <v>1.0</v>
      </c>
      <c r="U490" s="225" t="b">
        <f>Rankings!$S490=Rankings!$T490</f>
        <v>0</v>
      </c>
      <c r="V490" s="443">
        <f>IF(ISTEXT(Rankings!F490), "TBD", (RANK($F490,$F488:$F494) + IF(ISTEXT($H490), 0, (RANK($H490,$H488:$H494)/10)) + (RANK($G490,$G488:$G494)/100)))</f>
        <v>4.31</v>
      </c>
      <c r="W490" s="153"/>
    </row>
    <row r="491" ht="15.0" customHeight="1">
      <c r="A491" s="134"/>
      <c r="B491" s="134"/>
      <c r="C491" s="134"/>
      <c r="D491" s="219">
        <f>D488</f>
        <v>46073</v>
      </c>
      <c r="E491" s="227" t="str">
        <f>$N$1</f>
        <v>Rosey</v>
      </c>
      <c r="F491" s="220">
        <f>IFERROR(AVERAGE(Rankings!$K491:$R491), "TBD")</f>
        <v>3.571428571</v>
      </c>
      <c r="G491" s="220">
        <f>IFERROR(_xlfn.STDEV.P(Rankings!$K491:$R491), "TBD")</f>
        <v>1.761261144</v>
      </c>
      <c r="H491" s="221">
        <f>IFERROR(AVERAGE(Rankings!$K491:$M491, Rankings!$O491:$R491), "TBD")</f>
        <v>4</v>
      </c>
      <c r="I491" s="222" t="s">
        <v>1297</v>
      </c>
      <c r="J491" s="222" t="s">
        <v>1298</v>
      </c>
      <c r="K491" s="143">
        <v>4.0</v>
      </c>
      <c r="L491" s="144">
        <v>5.0</v>
      </c>
      <c r="M491" s="144">
        <v>6.0</v>
      </c>
      <c r="N491" s="144">
        <v>1.0</v>
      </c>
      <c r="O491" s="144">
        <v>1.0</v>
      </c>
      <c r="P491" s="144">
        <v>4.0</v>
      </c>
      <c r="Q491" s="447">
        <v>4.0</v>
      </c>
      <c r="R491" s="448"/>
      <c r="S491" s="405">
        <f>IF(ISTEXT($V491), "TBD", RANK(V491,$V488:$V494))</f>
        <v>2</v>
      </c>
      <c r="T491" s="225">
        <v>1.0</v>
      </c>
      <c r="U491" s="225" t="b">
        <f>Rankings!$S491=Rankings!$T491</f>
        <v>0</v>
      </c>
      <c r="V491" s="443">
        <f>IF(ISTEXT(Rankings!F491), "TBD", (RANK($F491,$F488:$F494) + IF(ISTEXT($H491), 0, (RANK($H491,$H488:$H494)/10)) + (RANK($G491,$G488:$G494)/100)))</f>
        <v>6.64</v>
      </c>
      <c r="W491" s="153"/>
    </row>
    <row r="492" ht="15.0" customHeight="1">
      <c r="A492" s="134"/>
      <c r="B492" s="134"/>
      <c r="C492" s="134"/>
      <c r="D492" s="219">
        <f t="shared" ref="D492:D494" si="72">D488</f>
        <v>46073</v>
      </c>
      <c r="E492" s="227" t="str">
        <f>$O$1</f>
        <v>TTAC</v>
      </c>
      <c r="F492" s="220">
        <f>IFERROR(AVERAGE(Rankings!$K492:$R492), "TBD")</f>
        <v>5</v>
      </c>
      <c r="G492" s="220">
        <f>IFERROR(_xlfn.STDEV.P(Rankings!$K492:$R492), "TBD")</f>
        <v>1.772810521</v>
      </c>
      <c r="H492" s="221">
        <f>IFERROR(AVERAGE(Rankings!$K492:$N492, Rankings!$P492:$R492), "TBD")</f>
        <v>5.333333333</v>
      </c>
      <c r="I492" s="222" t="s">
        <v>1299</v>
      </c>
      <c r="J492" s="222" t="s">
        <v>1300</v>
      </c>
      <c r="K492" s="143">
        <v>5.0</v>
      </c>
      <c r="L492" s="144">
        <v>7.0</v>
      </c>
      <c r="M492" s="144">
        <v>5.0</v>
      </c>
      <c r="N492" s="144">
        <v>6.0</v>
      </c>
      <c r="O492" s="144">
        <v>3.0</v>
      </c>
      <c r="P492" s="144">
        <v>7.0</v>
      </c>
      <c r="Q492" s="447">
        <v>2.0</v>
      </c>
      <c r="R492" s="448"/>
      <c r="S492" s="405">
        <f>IF(ISTEXT($V492), "TBD", RANK(V492,$V488:$V494))</f>
        <v>6</v>
      </c>
      <c r="T492" s="225">
        <v>1.0</v>
      </c>
      <c r="U492" s="225" t="b">
        <f>Rankings!$S492=Rankings!$T492</f>
        <v>0</v>
      </c>
      <c r="V492" s="443">
        <f>IF(ISTEXT(Rankings!F492), "TBD", (RANK($F492,$F488:$F494) + IF(ISTEXT($H492), 0, (RANK($H492,$H488:$H494)/10)) + (RANK($G492,$G488:$G494)/100)))</f>
        <v>2.13</v>
      </c>
      <c r="W492" s="153"/>
    </row>
    <row r="493" ht="15.0" customHeight="1">
      <c r="A493" s="134"/>
      <c r="B493" s="134"/>
      <c r="C493" s="134"/>
      <c r="D493" s="219">
        <f t="shared" si="72"/>
        <v>46073</v>
      </c>
      <c r="E493" s="227" t="str">
        <f>$P$1</f>
        <v>Weston</v>
      </c>
      <c r="F493" s="220">
        <f>IFERROR(AVERAGE(Rankings!$K493:$R493), "TBD")</f>
        <v>3.714285714</v>
      </c>
      <c r="G493" s="220">
        <f>IFERROR(_xlfn.STDEV.P(Rankings!$K493:$R493), "TBD")</f>
        <v>1.665986256</v>
      </c>
      <c r="H493" s="221">
        <f>IFERROR(AVERAGE(Rankings!$K493:$O493, Rankings!$Q493:$R493), "TBD")</f>
        <v>4.166666667</v>
      </c>
      <c r="I493" s="222" t="s">
        <v>1301</v>
      </c>
      <c r="J493" s="222" t="s">
        <v>1302</v>
      </c>
      <c r="K493" s="143">
        <v>6.0</v>
      </c>
      <c r="L493" s="144">
        <v>2.0</v>
      </c>
      <c r="M493" s="144">
        <v>4.0</v>
      </c>
      <c r="N493" s="144">
        <v>3.0</v>
      </c>
      <c r="O493" s="144">
        <v>5.0</v>
      </c>
      <c r="P493" s="144">
        <v>1.0</v>
      </c>
      <c r="Q493" s="447">
        <v>5.0</v>
      </c>
      <c r="R493" s="448"/>
      <c r="S493" s="405">
        <f>IF(ISTEXT($V493), "TBD", RANK(V493,$V488:$V494))</f>
        <v>3</v>
      </c>
      <c r="T493" s="449">
        <v>1.0</v>
      </c>
      <c r="U493" s="225" t="b">
        <f>Rankings!$S493=Rankings!$T493</f>
        <v>0</v>
      </c>
      <c r="V493" s="443">
        <f>IF(ISTEXT(Rankings!F493), "TBD", (RANK($F493,$F488:$F494) + IF(ISTEXT($H493), 0, (RANK($H493,$H488:$H494)/10)) + (RANK($G493,$G488:$G494)/100)))</f>
        <v>4.35</v>
      </c>
      <c r="W493" s="153"/>
    </row>
    <row r="494" ht="15.0" customHeight="1">
      <c r="A494" s="189"/>
      <c r="B494" s="189"/>
      <c r="C494" s="189"/>
      <c r="D494" s="219">
        <f t="shared" si="72"/>
        <v>46073</v>
      </c>
      <c r="E494" s="131" t="str">
        <f>$Q$1</f>
        <v>Flocco</v>
      </c>
      <c r="F494" s="220">
        <f>IFERROR(AVERAGE(Rankings!$K494:$R494), "TBD")</f>
        <v>5.571428571</v>
      </c>
      <c r="G494" s="220">
        <f>IFERROR(_xlfn.STDEV.P(Rankings!$K494:$R494), "TBD")</f>
        <v>1.399708424</v>
      </c>
      <c r="H494" s="221">
        <f>IFERROR(AVERAGE(Rankings!$K494:$P494, Rankings!$R494), "TBD")</f>
        <v>5.333333333</v>
      </c>
      <c r="I494" s="222" t="s">
        <v>1303</v>
      </c>
      <c r="J494" s="222" t="s">
        <v>1304</v>
      </c>
      <c r="K494" s="143">
        <v>7.0</v>
      </c>
      <c r="L494" s="144">
        <v>6.0</v>
      </c>
      <c r="M494" s="144">
        <v>3.0</v>
      </c>
      <c r="N494" s="144">
        <v>4.0</v>
      </c>
      <c r="O494" s="144">
        <v>6.0</v>
      </c>
      <c r="P494" s="144">
        <v>6.0</v>
      </c>
      <c r="Q494" s="447">
        <v>7.0</v>
      </c>
      <c r="R494" s="448"/>
      <c r="S494" s="405">
        <f>IF(ISTEXT($V494), "TBD", RANK(V494,$V488:$V494))</f>
        <v>7</v>
      </c>
      <c r="T494" s="449">
        <v>1.0</v>
      </c>
      <c r="U494" s="225" t="b">
        <f>Rankings!$S494=Rankings!$T494</f>
        <v>0</v>
      </c>
      <c r="V494" s="443">
        <f>IF(ISTEXT(Rankings!F494), "TBD", (RANK($F494,$F488:$F494) + IF(ISTEXT($H494), 0, (RANK($H494,$H488:$H494)/10)) + (RANK($G494,$G488:$G494)/100)))</f>
        <v>1.17</v>
      </c>
      <c r="W494" s="208"/>
    </row>
    <row r="495" ht="15.0" customHeight="1">
      <c r="A495" s="103">
        <v>46076.0</v>
      </c>
      <c r="B495" s="104"/>
      <c r="C495" s="104" t="str">
        <f t="array" ref="C495">INDEX(Rankings!$E495:$E501, MATCH(1, (Rankings!$D495:$D501=$A495)*(Rankings!$U495:$U501=TRUE()), 0))</f>
        <v>TTAC</v>
      </c>
      <c r="D495" s="111">
        <f>A495</f>
        <v>46076</v>
      </c>
      <c r="E495" s="113" t="str">
        <f>$K$1</f>
        <v>Logan</v>
      </c>
      <c r="F495" s="115">
        <f>IFERROR(AVERAGE(Rankings!$K495:$R495), "TBD")</f>
        <v>4.142857143</v>
      </c>
      <c r="G495" s="115">
        <f>IFERROR(_xlfn.STDEV.P(Rankings!$K495:$R495), "TBD")</f>
        <v>1.884415137</v>
      </c>
      <c r="H495" s="117">
        <f>IFERROR(AVERAGE(Rankings!$L495:$R495), "TBD")</f>
        <v>4.666666667</v>
      </c>
      <c r="I495" s="119" t="s">
        <v>1305</v>
      </c>
      <c r="J495" s="119" t="s">
        <v>1306</v>
      </c>
      <c r="K495" s="120">
        <v>1.0</v>
      </c>
      <c r="L495" s="121">
        <v>4.0</v>
      </c>
      <c r="M495" s="121">
        <v>6.0</v>
      </c>
      <c r="N495" s="121">
        <v>7.0</v>
      </c>
      <c r="O495" s="121">
        <v>3.0</v>
      </c>
      <c r="P495" s="121">
        <v>5.0</v>
      </c>
      <c r="Q495" s="445">
        <v>3.0</v>
      </c>
      <c r="R495" s="446"/>
      <c r="S495" s="401">
        <f>IF(ISTEXT($V495), "TBD", RANK(V495,$V495:$V501))</f>
        <v>4</v>
      </c>
      <c r="T495" s="217">
        <v>1.0</v>
      </c>
      <c r="U495" s="217" t="b">
        <f>Rankings!$S495=Rankings!$T495</f>
        <v>0</v>
      </c>
      <c r="V495" s="443">
        <f>IF(ISTEXT(Rankings!F495), "TBD", (RANK($F495,$F495:$F501) + IF(ISTEXT($H495), 0, (RANK($H495,$H495:$H501)/10)) + (RANK($G495,$G495:$G501)/100)))</f>
        <v>4.43</v>
      </c>
      <c r="W495" s="259"/>
    </row>
    <row r="496" ht="15.0" customHeight="1">
      <c r="A496" s="134"/>
      <c r="B496" s="134"/>
      <c r="C496" s="134"/>
      <c r="D496" s="219">
        <f>D495</f>
        <v>46076</v>
      </c>
      <c r="E496" s="138" t="str">
        <f>$L$1</f>
        <v>Parker</v>
      </c>
      <c r="F496" s="220">
        <f>IFERROR(AVERAGE(Rankings!$K496:$R496), "TBD")</f>
        <v>5.857142857</v>
      </c>
      <c r="G496" s="220">
        <f>IFERROR(_xlfn.STDEV.P(Rankings!$K496:$R496), "TBD")</f>
        <v>1.124858268</v>
      </c>
      <c r="H496" s="221">
        <f>IFERROR(AVERAGE(Rankings!$K496, Rankings!$M496:$R496), "TBD")</f>
        <v>6</v>
      </c>
      <c r="I496" s="222" t="s">
        <v>1307</v>
      </c>
      <c r="J496" s="222" t="s">
        <v>1308</v>
      </c>
      <c r="K496" s="143">
        <v>4.0</v>
      </c>
      <c r="L496" s="144">
        <v>5.0</v>
      </c>
      <c r="M496" s="144">
        <v>7.0</v>
      </c>
      <c r="N496" s="144">
        <v>6.0</v>
      </c>
      <c r="O496" s="144">
        <v>5.0</v>
      </c>
      <c r="P496" s="144">
        <v>7.0</v>
      </c>
      <c r="Q496" s="447">
        <v>7.0</v>
      </c>
      <c r="R496" s="448"/>
      <c r="S496" s="405">
        <f>IF(ISTEXT($V496), "TBD", RANK(V496,$V495:$V501))</f>
        <v>7</v>
      </c>
      <c r="T496" s="225">
        <v>1.0</v>
      </c>
      <c r="U496" s="225" t="b">
        <f>Rankings!$S496=Rankings!$T496</f>
        <v>0</v>
      </c>
      <c r="V496" s="443">
        <f>IF(ISTEXT(Rankings!F496), "TBD", (RANK($F496,$F495:$F501) + IF(ISTEXT($H496), 0, (RANK($H496,$H495:$H501)/10)) + (RANK($G496,$G495:$G501)/100)))</f>
        <v>1.15</v>
      </c>
      <c r="W496" s="153"/>
    </row>
    <row r="497" ht="15.0" customHeight="1">
      <c r="A497" s="134"/>
      <c r="B497" s="134"/>
      <c r="C497" s="134"/>
      <c r="D497" s="219">
        <f>D495</f>
        <v>46076</v>
      </c>
      <c r="E497" s="227" t="str">
        <f>$M$1</f>
        <v>Giacomo</v>
      </c>
      <c r="F497" s="220">
        <f>IFERROR(AVERAGE(Rankings!$K497:$R497), "TBD")</f>
        <v>5.285714286</v>
      </c>
      <c r="G497" s="220">
        <f>IFERROR(_xlfn.STDEV.P(Rankings!$K497:$R497), "TBD")</f>
        <v>1.905952009</v>
      </c>
      <c r="H497" s="221">
        <f>IFERROR(AVERAGE(Rankings!$K497:$L497, Rankings!$N497:$R497), "TBD")</f>
        <v>6</v>
      </c>
      <c r="I497" s="222" t="s">
        <v>1309</v>
      </c>
      <c r="J497" s="222" t="s">
        <v>1310</v>
      </c>
      <c r="K497" s="143">
        <v>6.0</v>
      </c>
      <c r="L497" s="144">
        <v>7.0</v>
      </c>
      <c r="M497" s="144">
        <v>1.0</v>
      </c>
      <c r="N497" s="144">
        <v>5.0</v>
      </c>
      <c r="O497" s="144">
        <v>7.0</v>
      </c>
      <c r="P497" s="144">
        <v>6.0</v>
      </c>
      <c r="Q497" s="447">
        <v>5.0</v>
      </c>
      <c r="R497" s="448"/>
      <c r="S497" s="405">
        <f>IF(ISTEXT($V497), "TBD", RANK(V497,$V495:$V501))</f>
        <v>6</v>
      </c>
      <c r="T497" s="225">
        <v>1.0</v>
      </c>
      <c r="U497" s="225" t="b">
        <f>Rankings!$S497=Rankings!$T497</f>
        <v>0</v>
      </c>
      <c r="V497" s="443">
        <f>IF(ISTEXT(Rankings!F497), "TBD", (RANK($F497,$F495:$F501) + IF(ISTEXT($H497), 0, (RANK($H497,$H495:$H501)/10)) + (RANK($G497,$G495:$G501)/100)))</f>
        <v>2.12</v>
      </c>
      <c r="W497" s="153"/>
    </row>
    <row r="498" ht="15.0" customHeight="1">
      <c r="A498" s="134"/>
      <c r="B498" s="134"/>
      <c r="C498" s="134"/>
      <c r="D498" s="219">
        <f>D495</f>
        <v>46076</v>
      </c>
      <c r="E498" s="227" t="str">
        <f>$N$1</f>
        <v>Rosey</v>
      </c>
      <c r="F498" s="220">
        <f>IFERROR(AVERAGE(Rankings!$K498:$R498), "TBD")</f>
        <v>4.571428571</v>
      </c>
      <c r="G498" s="220">
        <f>IFERROR(_xlfn.STDEV.P(Rankings!$K498:$R498), "TBD")</f>
        <v>2.32115383</v>
      </c>
      <c r="H498" s="221">
        <f>IFERROR(AVERAGE(Rankings!$K498:$M498, Rankings!$O498:$R498), "TBD")</f>
        <v>5.166666667</v>
      </c>
      <c r="I498" s="222" t="s">
        <v>1311</v>
      </c>
      <c r="J498" s="222" t="s">
        <v>1312</v>
      </c>
      <c r="K498" s="143">
        <v>7.0</v>
      </c>
      <c r="L498" s="144">
        <v>6.0</v>
      </c>
      <c r="M498" s="144">
        <v>5.0</v>
      </c>
      <c r="N498" s="144">
        <v>1.0</v>
      </c>
      <c r="O498" s="144">
        <v>6.0</v>
      </c>
      <c r="P498" s="144">
        <v>1.0</v>
      </c>
      <c r="Q498" s="447">
        <v>6.0</v>
      </c>
      <c r="R498" s="448"/>
      <c r="S498" s="405">
        <f>IF(ISTEXT($V498), "TBD", RANK(V498,$V495:$V501))</f>
        <v>5</v>
      </c>
      <c r="T498" s="225">
        <v>1.0</v>
      </c>
      <c r="U498" s="225" t="b">
        <f>Rankings!$S498=Rankings!$T498</f>
        <v>0</v>
      </c>
      <c r="V498" s="443">
        <f>IF(ISTEXT(Rankings!F498), "TBD", (RANK($F498,$F495:$F501) + IF(ISTEXT($H498), 0, (RANK($H498,$H495:$H501)/10)) + (RANK($G498,$G495:$G501)/100)))</f>
        <v>3.31</v>
      </c>
      <c r="W498" s="153"/>
    </row>
    <row r="499" ht="15.0" customHeight="1">
      <c r="A499" s="134"/>
      <c r="B499" s="134"/>
      <c r="C499" s="134"/>
      <c r="D499" s="219">
        <f t="shared" ref="D499:D501" si="73">D495</f>
        <v>46076</v>
      </c>
      <c r="E499" s="227" t="str">
        <f>$O$1</f>
        <v>TTAC</v>
      </c>
      <c r="F499" s="220">
        <f>IFERROR(AVERAGE(Rankings!$K499:$R499), "TBD")</f>
        <v>2.428571429</v>
      </c>
      <c r="G499" s="220">
        <f>IFERROR(_xlfn.STDEV.P(Rankings!$K499:$R499), "TBD")</f>
        <v>0.9035079029</v>
      </c>
      <c r="H499" s="221">
        <f>IFERROR(AVERAGE(Rankings!$K499:$N499, Rankings!$P499:$R499), "TBD")</f>
        <v>2.666666667</v>
      </c>
      <c r="I499" s="222" t="s">
        <v>438</v>
      </c>
      <c r="J499" s="222" t="s">
        <v>1217</v>
      </c>
      <c r="K499" s="143">
        <v>2.0</v>
      </c>
      <c r="L499" s="144">
        <v>2.0</v>
      </c>
      <c r="M499" s="144">
        <v>3.0</v>
      </c>
      <c r="N499" s="144">
        <v>3.0</v>
      </c>
      <c r="O499" s="144">
        <v>1.0</v>
      </c>
      <c r="P499" s="144">
        <v>2.0</v>
      </c>
      <c r="Q499" s="447">
        <v>4.0</v>
      </c>
      <c r="R499" s="448"/>
      <c r="S499" s="405">
        <f>IF(ISTEXT($V499), "TBD", RANK(V499,$V495:$V501))</f>
        <v>1</v>
      </c>
      <c r="T499" s="225">
        <v>1.0</v>
      </c>
      <c r="U499" s="225" t="b">
        <f>Rankings!$S499=Rankings!$T499</f>
        <v>1</v>
      </c>
      <c r="V499" s="443">
        <f>IF(ISTEXT(Rankings!F499), "TBD", (RANK($F499,$F495:$F501) + IF(ISTEXT($H499), 0, (RANK($H499,$H495:$H501)/10)) + (RANK($G499,$G495:$G501)/100)))</f>
        <v>7.76</v>
      </c>
      <c r="W499" s="153"/>
    </row>
    <row r="500" ht="15.0" customHeight="1">
      <c r="A500" s="134"/>
      <c r="B500" s="134"/>
      <c r="C500" s="134"/>
      <c r="D500" s="219">
        <f t="shared" si="73"/>
        <v>46076</v>
      </c>
      <c r="E500" s="227" t="str">
        <f>$P$1</f>
        <v>Weston</v>
      </c>
      <c r="F500" s="220">
        <f>IFERROR(AVERAGE(Rankings!$K500:$R500), "TBD")</f>
        <v>3</v>
      </c>
      <c r="G500" s="220">
        <f>IFERROR(_xlfn.STDEV.P(Rankings!$K500:$R500), "TBD")</f>
        <v>0.755928946</v>
      </c>
      <c r="H500" s="221">
        <f>IFERROR(AVERAGE(Rankings!$K500:$O500, Rankings!$Q500:$R500), "TBD")</f>
        <v>3</v>
      </c>
      <c r="I500" s="222" t="s">
        <v>1313</v>
      </c>
      <c r="J500" s="222" t="s">
        <v>1314</v>
      </c>
      <c r="K500" s="143">
        <v>3.0</v>
      </c>
      <c r="L500" s="144">
        <v>3.0</v>
      </c>
      <c r="M500" s="144">
        <v>4.0</v>
      </c>
      <c r="N500" s="144">
        <v>2.0</v>
      </c>
      <c r="O500" s="144">
        <v>4.0</v>
      </c>
      <c r="P500" s="144">
        <v>3.0</v>
      </c>
      <c r="Q500" s="447">
        <v>2.0</v>
      </c>
      <c r="R500" s="448"/>
      <c r="S500" s="405">
        <f>IF(ISTEXT($V500), "TBD", RANK(V500,$V495:$V501))</f>
        <v>3</v>
      </c>
      <c r="T500" s="449">
        <v>1.0</v>
      </c>
      <c r="U500" s="225" t="b">
        <f>Rankings!$S500=Rankings!$T500</f>
        <v>0</v>
      </c>
      <c r="V500" s="443">
        <f>IF(ISTEXT(Rankings!F500), "TBD", (RANK($F500,$F495:$F501) + IF(ISTEXT($H500), 0, (RANK($H500,$H495:$H501)/10)) + (RANK($G500,$G495:$G501)/100)))</f>
        <v>5.57</v>
      </c>
      <c r="W500" s="153"/>
    </row>
    <row r="501" ht="15.0" customHeight="1">
      <c r="A501" s="189"/>
      <c r="B501" s="189"/>
      <c r="C501" s="189"/>
      <c r="D501" s="219">
        <f t="shared" si="73"/>
        <v>46076</v>
      </c>
      <c r="E501" s="131" t="str">
        <f>$Q$1</f>
        <v>Flocco</v>
      </c>
      <c r="F501" s="220">
        <f>IFERROR(AVERAGE(Rankings!$K501:$R501), "TBD")</f>
        <v>2.714285714</v>
      </c>
      <c r="G501" s="220">
        <f>IFERROR(_xlfn.STDEV.P(Rankings!$K501:$R501), "TBD")</f>
        <v>1.484614978</v>
      </c>
      <c r="H501" s="221">
        <f>IFERROR(AVERAGE(Rankings!$K501:$P501, Rankings!$R501), "TBD")</f>
        <v>3</v>
      </c>
      <c r="I501" s="222" t="s">
        <v>1315</v>
      </c>
      <c r="J501" s="222" t="s">
        <v>1316</v>
      </c>
      <c r="K501" s="143">
        <v>5.0</v>
      </c>
      <c r="L501" s="144">
        <v>1.0</v>
      </c>
      <c r="M501" s="144">
        <v>2.0</v>
      </c>
      <c r="N501" s="144">
        <v>4.0</v>
      </c>
      <c r="O501" s="144">
        <v>2.0</v>
      </c>
      <c r="P501" s="144">
        <v>4.0</v>
      </c>
      <c r="Q501" s="447">
        <v>1.0</v>
      </c>
      <c r="R501" s="448"/>
      <c r="S501" s="405">
        <f>IF(ISTEXT($V501), "TBD", RANK(V501,$V495:$V501))</f>
        <v>2</v>
      </c>
      <c r="T501" s="449">
        <v>1.0</v>
      </c>
      <c r="U501" s="225" t="b">
        <f>Rankings!$S501=Rankings!$T501</f>
        <v>0</v>
      </c>
      <c r="V501" s="443">
        <f>IF(ISTEXT(Rankings!F501), "TBD", (RANK($F501,$F495:$F501) + IF(ISTEXT($H501), 0, (RANK($H501,$H495:$H501)/10)) + (RANK($G501,$G495:$G501)/100)))</f>
        <v>6.54</v>
      </c>
      <c r="W501" s="208"/>
    </row>
    <row r="502" ht="15.0" customHeight="1">
      <c r="A502" s="103">
        <v>46078.0</v>
      </c>
      <c r="B502" s="104"/>
      <c r="C502" s="104" t="str">
        <f t="array" ref="C502">INDEX(Rankings!$E502:$E508, MATCH(1, (Rankings!$D502:$D508=$A502)*(Rankings!$U502:$U508=TRUE()), 0))</f>
        <v>Parker</v>
      </c>
      <c r="D502" s="111">
        <f>A502</f>
        <v>46078</v>
      </c>
      <c r="E502" s="113" t="str">
        <f>$K$1</f>
        <v>Logan</v>
      </c>
      <c r="F502" s="115">
        <f>IFERROR(AVERAGE(Rankings!$K502:$R502), "TBD")</f>
        <v>6.714285714</v>
      </c>
      <c r="G502" s="115">
        <f>IFERROR(_xlfn.STDEV.P(Rankings!$K502:$R502), "TBD")</f>
        <v>0.4517539515</v>
      </c>
      <c r="H502" s="117">
        <f>IFERROR(AVERAGE(Rankings!$L502:$R502), "TBD")</f>
        <v>6.833333333</v>
      </c>
      <c r="I502" s="119" t="s">
        <v>1317</v>
      </c>
      <c r="J502" s="119" t="s">
        <v>1318</v>
      </c>
      <c r="K502" s="120">
        <v>6.0</v>
      </c>
      <c r="L502" s="121">
        <v>7.0</v>
      </c>
      <c r="M502" s="121">
        <v>6.0</v>
      </c>
      <c r="N502" s="121">
        <v>7.0</v>
      </c>
      <c r="O502" s="121">
        <v>7.0</v>
      </c>
      <c r="P502" s="121">
        <v>7.0</v>
      </c>
      <c r="Q502" s="445">
        <v>7.0</v>
      </c>
      <c r="R502" s="446"/>
      <c r="S502" s="401">
        <f>IF(ISTEXT($V502), "TBD", RANK(V502,$V502:$V508))</f>
        <v>7</v>
      </c>
      <c r="T502" s="217">
        <v>1.0</v>
      </c>
      <c r="U502" s="217" t="b">
        <f>Rankings!$S502=Rankings!$T502</f>
        <v>0</v>
      </c>
      <c r="V502" s="443">
        <f>IF(ISTEXT(Rankings!F502), "TBD", (RANK($F502,$F502:$F508) + IF(ISTEXT($H502), 0, (RANK($H502,$H502:$H508)/10)) + (RANK($G502,$G502:$G508)/100)))</f>
        <v>1.17</v>
      </c>
      <c r="W502" s="259"/>
    </row>
    <row r="503" ht="15.0" customHeight="1">
      <c r="A503" s="134"/>
      <c r="B503" s="134"/>
      <c r="C503" s="134"/>
      <c r="D503" s="219">
        <f>D502</f>
        <v>46078</v>
      </c>
      <c r="E503" s="138" t="str">
        <f>$L$1</f>
        <v>Parker</v>
      </c>
      <c r="F503" s="220">
        <f>IFERROR(AVERAGE(Rankings!$K503:$R503), "TBD")</f>
        <v>2.714285714</v>
      </c>
      <c r="G503" s="220">
        <f>IFERROR(_xlfn.STDEV.P(Rankings!$K503:$R503), "TBD")</f>
        <v>1.27775313</v>
      </c>
      <c r="H503" s="221">
        <f>IFERROR(AVERAGE(Rankings!$K503, Rankings!$M503:$R503), "TBD")</f>
        <v>2.833333333</v>
      </c>
      <c r="I503" s="222" t="s">
        <v>435</v>
      </c>
      <c r="J503" s="222" t="s">
        <v>1319</v>
      </c>
      <c r="K503" s="143">
        <v>2.0</v>
      </c>
      <c r="L503" s="144">
        <v>2.0</v>
      </c>
      <c r="M503" s="144">
        <v>5.0</v>
      </c>
      <c r="N503" s="144">
        <v>3.0</v>
      </c>
      <c r="O503" s="144">
        <v>2.0</v>
      </c>
      <c r="P503" s="144">
        <v>4.0</v>
      </c>
      <c r="Q503" s="447">
        <v>1.0</v>
      </c>
      <c r="R503" s="448"/>
      <c r="S503" s="405">
        <f>IF(ISTEXT($V503), "TBD", RANK(V503,$V502:$V508))</f>
        <v>1</v>
      </c>
      <c r="T503" s="225">
        <v>1.0</v>
      </c>
      <c r="U503" s="225" t="b">
        <f>Rankings!$S503=Rankings!$T503</f>
        <v>1</v>
      </c>
      <c r="V503" s="443">
        <f>IF(ISTEXT(Rankings!F503), "TBD", (RANK($F503,$F502:$F508) + IF(ISTEXT($H503), 0, (RANK($H503,$H502:$H508)/10)) + (RANK($G503,$G502:$G508)/100)))</f>
        <v>5.75</v>
      </c>
      <c r="W503" s="153"/>
    </row>
    <row r="504" ht="15.0" customHeight="1">
      <c r="A504" s="134"/>
      <c r="B504" s="134"/>
      <c r="C504" s="134"/>
      <c r="D504" s="219">
        <f>D502</f>
        <v>46078</v>
      </c>
      <c r="E504" s="227" t="str">
        <f>$M$1</f>
        <v>Giacomo</v>
      </c>
      <c r="F504" s="220">
        <f>IFERROR(AVERAGE(Rankings!$K504:$R504), "TBD")</f>
        <v>2.714285714</v>
      </c>
      <c r="G504" s="220">
        <f>IFERROR(_xlfn.STDEV.P(Rankings!$K504:$R504), "TBD")</f>
        <v>1.905952009</v>
      </c>
      <c r="H504" s="221">
        <f>IFERROR(AVERAGE(Rankings!$K504:$L504, Rankings!$N504:$R504), "TBD")</f>
        <v>3</v>
      </c>
      <c r="I504" s="222" t="s">
        <v>1320</v>
      </c>
      <c r="J504" s="222" t="s">
        <v>1321</v>
      </c>
      <c r="K504" s="143">
        <v>1.0</v>
      </c>
      <c r="L504" s="144">
        <v>3.0</v>
      </c>
      <c r="M504" s="144">
        <v>1.0</v>
      </c>
      <c r="N504" s="144">
        <v>2.0</v>
      </c>
      <c r="O504" s="144">
        <v>6.0</v>
      </c>
      <c r="P504" s="144">
        <v>1.0</v>
      </c>
      <c r="Q504" s="447">
        <v>5.0</v>
      </c>
      <c r="R504" s="448"/>
      <c r="S504" s="405">
        <f>IF(ISTEXT($V504), "TBD", RANK(V504,$V502:$V508))</f>
        <v>3</v>
      </c>
      <c r="T504" s="225">
        <v>1.0</v>
      </c>
      <c r="U504" s="225" t="b">
        <f>Rankings!$S504=Rankings!$T504</f>
        <v>0</v>
      </c>
      <c r="V504" s="443">
        <f>IF(ISTEXT(Rankings!F504), "TBD", (RANK($F504,$F502:$F508) + IF(ISTEXT($H504), 0, (RANK($H504,$H502:$H508)/10)) + (RANK($G504,$G502:$G508)/100)))</f>
        <v>5.52</v>
      </c>
      <c r="W504" s="153"/>
    </row>
    <row r="505" ht="15.0" customHeight="1">
      <c r="A505" s="134"/>
      <c r="B505" s="134"/>
      <c r="C505" s="134"/>
      <c r="D505" s="219">
        <f>D502</f>
        <v>46078</v>
      </c>
      <c r="E505" s="227" t="str">
        <f>$N$1</f>
        <v>Rosey</v>
      </c>
      <c r="F505" s="220">
        <f>IFERROR(AVERAGE(Rankings!$K505:$R505), "TBD")</f>
        <v>4.285714286</v>
      </c>
      <c r="G505" s="220">
        <f>IFERROR(_xlfn.STDEV.P(Rankings!$K505:$R505), "TBD")</f>
        <v>1.484614978</v>
      </c>
      <c r="H505" s="221">
        <f>IFERROR(AVERAGE(Rankings!$K505:$M505, Rankings!$O505:$R505), "TBD")</f>
        <v>4.833333333</v>
      </c>
      <c r="I505" s="222" t="s">
        <v>1322</v>
      </c>
      <c r="J505" s="222" t="s">
        <v>1323</v>
      </c>
      <c r="K505" s="143">
        <v>5.0</v>
      </c>
      <c r="L505" s="144">
        <v>5.0</v>
      </c>
      <c r="M505" s="144">
        <v>4.0</v>
      </c>
      <c r="N505" s="144">
        <v>1.0</v>
      </c>
      <c r="O505" s="144">
        <v>4.0</v>
      </c>
      <c r="P505" s="144">
        <v>5.0</v>
      </c>
      <c r="Q505" s="447">
        <v>6.0</v>
      </c>
      <c r="R505" s="448"/>
      <c r="S505" s="405">
        <f>IF(ISTEXT($V505), "TBD", RANK(V505,$V502:$V508))</f>
        <v>5</v>
      </c>
      <c r="T505" s="225">
        <v>1.0</v>
      </c>
      <c r="U505" s="225" t="b">
        <f>Rankings!$S505=Rankings!$T505</f>
        <v>0</v>
      </c>
      <c r="V505" s="443">
        <f>IF(ISTEXT(Rankings!F505), "TBD", (RANK($F505,$F502:$F508) + IF(ISTEXT($H505), 0, (RANK($H505,$H502:$H508)/10)) + (RANK($G505,$G502:$G508)/100)))</f>
        <v>3.33</v>
      </c>
      <c r="W505" s="153"/>
    </row>
    <row r="506" ht="15.0" customHeight="1">
      <c r="A506" s="134"/>
      <c r="B506" s="134"/>
      <c r="C506" s="134"/>
      <c r="D506" s="219">
        <f t="shared" ref="D506:D508" si="74">D502</f>
        <v>46078</v>
      </c>
      <c r="E506" s="227" t="str">
        <f>$O$1</f>
        <v>TTAC</v>
      </c>
      <c r="F506" s="220">
        <f>IFERROR(AVERAGE(Rankings!$K506:$R506), "TBD")</f>
        <v>2.714285714</v>
      </c>
      <c r="G506" s="220">
        <f>IFERROR(_xlfn.STDEV.P(Rankings!$K506:$R506), "TBD")</f>
        <v>1.030157507</v>
      </c>
      <c r="H506" s="221">
        <f>IFERROR(AVERAGE(Rankings!$K506:$N506, Rankings!$P506:$R506), "TBD")</f>
        <v>3</v>
      </c>
      <c r="I506" s="222" t="s">
        <v>1324</v>
      </c>
      <c r="J506" s="222" t="s">
        <v>1325</v>
      </c>
      <c r="K506" s="143">
        <v>3.0</v>
      </c>
      <c r="L506" s="144">
        <v>4.0</v>
      </c>
      <c r="M506" s="144">
        <v>3.0</v>
      </c>
      <c r="N506" s="144">
        <v>4.0</v>
      </c>
      <c r="O506" s="144">
        <v>1.0</v>
      </c>
      <c r="P506" s="144">
        <v>2.0</v>
      </c>
      <c r="Q506" s="447">
        <v>2.0</v>
      </c>
      <c r="R506" s="448"/>
      <c r="S506" s="405">
        <f>IF(ISTEXT($V506), "TBD", RANK(V506,$V502:$V508))</f>
        <v>2</v>
      </c>
      <c r="T506" s="225">
        <v>1.0</v>
      </c>
      <c r="U506" s="225" t="b">
        <f>Rankings!$S506=Rankings!$T506</f>
        <v>0</v>
      </c>
      <c r="V506" s="443">
        <f>IF(ISTEXT(Rankings!F506), "TBD", (RANK($F506,$F502:$F508) + IF(ISTEXT($H506), 0, (RANK($H506,$H502:$H508)/10)) + (RANK($G506,$G502:$G508)/100)))</f>
        <v>5.56</v>
      </c>
      <c r="W506" s="153"/>
    </row>
    <row r="507" ht="15.0" customHeight="1">
      <c r="A507" s="134"/>
      <c r="B507" s="134"/>
      <c r="C507" s="134"/>
      <c r="D507" s="219">
        <f t="shared" si="74"/>
        <v>46078</v>
      </c>
      <c r="E507" s="227" t="str">
        <f>$P$1</f>
        <v>Weston</v>
      </c>
      <c r="F507" s="220">
        <f>IFERROR(AVERAGE(Rankings!$K507:$R507), "TBD")</f>
        <v>3.857142857</v>
      </c>
      <c r="G507" s="220">
        <f>IFERROR(_xlfn.STDEV.P(Rankings!$K507:$R507), "TBD")</f>
        <v>2.030381486</v>
      </c>
      <c r="H507" s="221">
        <f>IFERROR(AVERAGE(Rankings!$K507:$O507, Rankings!$Q507:$R507), "TBD")</f>
        <v>4</v>
      </c>
      <c r="I507" s="222" t="s">
        <v>1326</v>
      </c>
      <c r="J507" s="222" t="s">
        <v>158</v>
      </c>
      <c r="K507" s="143">
        <v>7.0</v>
      </c>
      <c r="L507" s="144">
        <v>1.0</v>
      </c>
      <c r="M507" s="144">
        <v>2.0</v>
      </c>
      <c r="N507" s="144">
        <v>6.0</v>
      </c>
      <c r="O507" s="144">
        <v>5.0</v>
      </c>
      <c r="P507" s="144">
        <v>3.0</v>
      </c>
      <c r="Q507" s="447">
        <v>3.0</v>
      </c>
      <c r="R507" s="448"/>
      <c r="S507" s="405">
        <f>IF(ISTEXT($V507), "TBD", RANK(V507,$V502:$V508))</f>
        <v>4</v>
      </c>
      <c r="T507" s="449">
        <v>1.0</v>
      </c>
      <c r="U507" s="225" t="b">
        <f>Rankings!$S507=Rankings!$T507</f>
        <v>0</v>
      </c>
      <c r="V507" s="443">
        <f>IF(ISTEXT(Rankings!F507), "TBD", (RANK($F507,$F502:$F508) + IF(ISTEXT($H507), 0, (RANK($H507,$H502:$H508)/10)) + (RANK($G507,$G502:$G508)/100)))</f>
        <v>4.41</v>
      </c>
      <c r="W507" s="153"/>
    </row>
    <row r="508" ht="15.0" customHeight="1">
      <c r="A508" s="189"/>
      <c r="B508" s="189"/>
      <c r="C508" s="189"/>
      <c r="D508" s="219">
        <f t="shared" si="74"/>
        <v>46078</v>
      </c>
      <c r="E508" s="131" t="str">
        <f>$Q$1</f>
        <v>Flocco</v>
      </c>
      <c r="F508" s="220">
        <f>IFERROR(AVERAGE(Rankings!$K508:$R508), "TBD")</f>
        <v>5</v>
      </c>
      <c r="G508" s="220">
        <f>IFERROR(_xlfn.STDEV.P(Rankings!$K508:$R508), "TBD")</f>
        <v>1.309307341</v>
      </c>
      <c r="H508" s="221">
        <f>IFERROR(AVERAGE(Rankings!$K508:$P508, Rankings!$R508), "TBD")</f>
        <v>5.166666667</v>
      </c>
      <c r="I508" s="222" t="s">
        <v>1327</v>
      </c>
      <c r="J508" s="222" t="s">
        <v>1328</v>
      </c>
      <c r="K508" s="143">
        <v>4.0</v>
      </c>
      <c r="L508" s="144">
        <v>6.0</v>
      </c>
      <c r="M508" s="144">
        <v>7.0</v>
      </c>
      <c r="N508" s="144">
        <v>5.0</v>
      </c>
      <c r="O508" s="144">
        <v>3.0</v>
      </c>
      <c r="P508" s="144">
        <v>6.0</v>
      </c>
      <c r="Q508" s="447">
        <v>4.0</v>
      </c>
      <c r="R508" s="448"/>
      <c r="S508" s="405">
        <f>IF(ISTEXT($V508), "TBD", RANK(V508,$V502:$V508))</f>
        <v>6</v>
      </c>
      <c r="T508" s="449">
        <v>1.0</v>
      </c>
      <c r="U508" s="225" t="b">
        <f>Rankings!$S508=Rankings!$T508</f>
        <v>0</v>
      </c>
      <c r="V508" s="443">
        <f>IF(ISTEXT(Rankings!F508), "TBD", (RANK($F508,$F502:$F508) + IF(ISTEXT($H508), 0, (RANK($H508,$H502:$H508)/10)) + (RANK($G508,$G502:$G508)/100)))</f>
        <v>2.24</v>
      </c>
      <c r="W508" s="208"/>
    </row>
    <row r="509" ht="15.0" customHeight="1">
      <c r="A509" s="103">
        <v>46080.0</v>
      </c>
      <c r="B509" s="104"/>
      <c r="C509" s="104" t="str">
        <f t="array" ref="C509">INDEX(Rankings!$E509:$E515, MATCH(1, (Rankings!$D509:$D515=$A509)*(Rankings!$U509:$U515=TRUE()), 0))</f>
        <v>Flocco</v>
      </c>
      <c r="D509" s="111">
        <f>A509</f>
        <v>46080</v>
      </c>
      <c r="E509" s="113" t="str">
        <f>$K$1</f>
        <v>Logan</v>
      </c>
      <c r="F509" s="115">
        <f>IFERROR(AVERAGE(Rankings!$K509:$R509), "TBD")</f>
        <v>4.571428571</v>
      </c>
      <c r="G509" s="115">
        <f>IFERROR(_xlfn.STDEV.P(Rankings!$K509:$R509), "TBD")</f>
        <v>1.840585532</v>
      </c>
      <c r="H509" s="117">
        <f>IFERROR(AVERAGE(Rankings!$L509:$R509), "TBD")</f>
        <v>5</v>
      </c>
      <c r="I509" s="119" t="s">
        <v>1329</v>
      </c>
      <c r="J509" s="119" t="s">
        <v>1330</v>
      </c>
      <c r="K509" s="120">
        <v>2.0</v>
      </c>
      <c r="L509" s="121">
        <v>6.0</v>
      </c>
      <c r="M509" s="121">
        <v>6.0</v>
      </c>
      <c r="N509" s="121">
        <v>2.0</v>
      </c>
      <c r="O509" s="121">
        <v>7.0</v>
      </c>
      <c r="P509" s="121">
        <v>5.0</v>
      </c>
      <c r="Q509" s="445">
        <v>4.0</v>
      </c>
      <c r="R509" s="446"/>
      <c r="S509" s="401">
        <f>IF(ISTEXT($V509), "TBD", RANK(V509,$V509:$V515))</f>
        <v>5</v>
      </c>
      <c r="T509" s="217">
        <v>1.0</v>
      </c>
      <c r="U509" s="217" t="b">
        <f>Rankings!$S509=Rankings!$T509</f>
        <v>0</v>
      </c>
      <c r="V509" s="443">
        <f>IF(ISTEXT(Rankings!F509), "TBD", (RANK($F509,$F509:$F515) + IF(ISTEXT($H509), 0, (RANK($H509,$H509:$H515)/10)) + (RANK($G509,$G509:$G515)/100)))</f>
        <v>3.23</v>
      </c>
      <c r="W509" s="259"/>
    </row>
    <row r="510" ht="15.0" customHeight="1">
      <c r="A510" s="134"/>
      <c r="B510" s="134"/>
      <c r="C510" s="134"/>
      <c r="D510" s="219">
        <f>D509</f>
        <v>46080</v>
      </c>
      <c r="E510" s="138" t="str">
        <f>$L$1</f>
        <v>Parker</v>
      </c>
      <c r="F510" s="220">
        <f>IFERROR(AVERAGE(Rankings!$K510:$R510), "TBD")</f>
        <v>3.714285714</v>
      </c>
      <c r="G510" s="220">
        <f>IFERROR(_xlfn.STDEV.P(Rankings!$K510:$R510), "TBD")</f>
        <v>2.118913853</v>
      </c>
      <c r="H510" s="221">
        <f>IFERROR(AVERAGE(Rankings!$K510, Rankings!$M510:$R510), "TBD")</f>
        <v>4.166666667</v>
      </c>
      <c r="I510" s="222" t="s">
        <v>1331</v>
      </c>
      <c r="J510" s="222" t="s">
        <v>1332</v>
      </c>
      <c r="K510" s="143">
        <v>4.0</v>
      </c>
      <c r="L510" s="144">
        <v>1.0</v>
      </c>
      <c r="M510" s="144">
        <v>1.0</v>
      </c>
      <c r="N510" s="144">
        <v>6.0</v>
      </c>
      <c r="O510" s="144">
        <v>4.0</v>
      </c>
      <c r="P510" s="144">
        <v>3.0</v>
      </c>
      <c r="Q510" s="447">
        <v>7.0</v>
      </c>
      <c r="R510" s="448"/>
      <c r="S510" s="405">
        <f>IF(ISTEXT($V510), "TBD", RANK(V510,$V509:$V515))</f>
        <v>3</v>
      </c>
      <c r="T510" s="225">
        <v>1.0</v>
      </c>
      <c r="U510" s="225" t="b">
        <f>Rankings!$S510=Rankings!$T510</f>
        <v>0</v>
      </c>
      <c r="V510" s="443">
        <f>IF(ISTEXT(Rankings!F510), "TBD", (RANK($F510,$F509:$F515) + IF(ISTEXT($H510), 0, (RANK($H510,$H509:$H515)/10)) + (RANK($G510,$G509:$G515)/100)))</f>
        <v>5.51</v>
      </c>
      <c r="W510" s="153"/>
    </row>
    <row r="511" ht="15.0" customHeight="1">
      <c r="A511" s="134"/>
      <c r="B511" s="134"/>
      <c r="C511" s="134"/>
      <c r="D511" s="219">
        <f>D509</f>
        <v>46080</v>
      </c>
      <c r="E511" s="227" t="str">
        <f>$M$1</f>
        <v>Giacomo</v>
      </c>
      <c r="F511" s="220">
        <f>IFERROR(AVERAGE(Rankings!$K511:$R511), "TBD")</f>
        <v>4.714285714</v>
      </c>
      <c r="G511" s="220">
        <f>IFERROR(_xlfn.STDEV.P(Rankings!$K511:$R511), "TBD")</f>
        <v>1.030157507</v>
      </c>
      <c r="H511" s="221">
        <f>IFERROR(AVERAGE(Rankings!$K511:$L511, Rankings!$N511:$R511), "TBD")</f>
        <v>5</v>
      </c>
      <c r="I511" s="222" t="s">
        <v>1333</v>
      </c>
      <c r="J511" s="222" t="s">
        <v>1334</v>
      </c>
      <c r="K511" s="143">
        <v>6.0</v>
      </c>
      <c r="L511" s="144">
        <v>4.0</v>
      </c>
      <c r="M511" s="144">
        <v>3.0</v>
      </c>
      <c r="N511" s="144">
        <v>5.0</v>
      </c>
      <c r="O511" s="144">
        <v>5.0</v>
      </c>
      <c r="P511" s="144">
        <v>4.0</v>
      </c>
      <c r="Q511" s="447">
        <v>6.0</v>
      </c>
      <c r="R511" s="448"/>
      <c r="S511" s="405">
        <f>IF(ISTEXT($V511), "TBD", RANK(V511,$V509:$V515))</f>
        <v>6</v>
      </c>
      <c r="T511" s="225">
        <v>1.0</v>
      </c>
      <c r="U511" s="225" t="b">
        <f>Rankings!$S511=Rankings!$T511</f>
        <v>0</v>
      </c>
      <c r="V511" s="443">
        <f>IF(ISTEXT(Rankings!F511), "TBD", (RANK($F511,$F509:$F515) + IF(ISTEXT($H511), 0, (RANK($H511,$H509:$H515)/10)) + (RANK($G511,$G509:$G515)/100)))</f>
        <v>2.25</v>
      </c>
      <c r="W511" s="153"/>
    </row>
    <row r="512" ht="15.0" customHeight="1">
      <c r="A512" s="134"/>
      <c r="B512" s="134"/>
      <c r="C512" s="134"/>
      <c r="D512" s="219">
        <f>D509</f>
        <v>46080</v>
      </c>
      <c r="E512" s="227" t="str">
        <f>$N$1</f>
        <v>Rosey</v>
      </c>
      <c r="F512" s="220">
        <f>IFERROR(AVERAGE(Rankings!$K512:$R512), "TBD")</f>
        <v>4.428571429</v>
      </c>
      <c r="G512" s="220">
        <f>IFERROR(_xlfn.STDEV.P(Rankings!$K512:$R512), "TBD")</f>
        <v>1.399708424</v>
      </c>
      <c r="H512" s="221">
        <f>IFERROR(AVERAGE(Rankings!$K512:$M512, Rankings!$O512:$R512), "TBD")</f>
        <v>4.5</v>
      </c>
      <c r="I512" s="222" t="s">
        <v>1335</v>
      </c>
      <c r="J512" s="222" t="s">
        <v>1336</v>
      </c>
      <c r="K512" s="143">
        <v>3.0</v>
      </c>
      <c r="L512" s="144">
        <v>5.0</v>
      </c>
      <c r="M512" s="144">
        <v>5.0</v>
      </c>
      <c r="N512" s="144">
        <v>4.0</v>
      </c>
      <c r="O512" s="144">
        <v>6.0</v>
      </c>
      <c r="P512" s="144">
        <v>6.0</v>
      </c>
      <c r="Q512" s="447">
        <v>2.0</v>
      </c>
      <c r="R512" s="448"/>
      <c r="S512" s="405">
        <f>IF(ISTEXT($V512), "TBD", RANK(V512,$V509:$V515))</f>
        <v>4</v>
      </c>
      <c r="T512" s="225">
        <v>1.0</v>
      </c>
      <c r="U512" s="225" t="b">
        <f>Rankings!$S512=Rankings!$T512</f>
        <v>0</v>
      </c>
      <c r="V512" s="443">
        <f>IF(ISTEXT(Rankings!F512), "TBD", (RANK($F512,$F509:$F515) + IF(ISTEXT($H512), 0, (RANK($H512,$H509:$H515)/10)) + (RANK($G512,$G509:$G515)/100)))</f>
        <v>4.44</v>
      </c>
      <c r="W512" s="153"/>
    </row>
    <row r="513" ht="15.0" customHeight="1">
      <c r="A513" s="134"/>
      <c r="B513" s="134"/>
      <c r="C513" s="134"/>
      <c r="D513" s="219">
        <f t="shared" ref="D513:D515" si="75">D509</f>
        <v>46080</v>
      </c>
      <c r="E513" s="227" t="str">
        <f>$O$1</f>
        <v>TTAC</v>
      </c>
      <c r="F513" s="220">
        <f>IFERROR(AVERAGE(Rankings!$K513:$R513), "TBD")</f>
        <v>5.857142857</v>
      </c>
      <c r="G513" s="220">
        <f>IFERROR(_xlfn.STDEV.P(Rankings!$K513:$R513), "TBD")</f>
        <v>2.099562637</v>
      </c>
      <c r="H513" s="221">
        <f>IFERROR(AVERAGE(Rankings!$K513:$N513, Rankings!$P513:$R513), "TBD")</f>
        <v>6.666666667</v>
      </c>
      <c r="I513" s="222" t="s">
        <v>1337</v>
      </c>
      <c r="J513" s="222" t="s">
        <v>1086</v>
      </c>
      <c r="K513" s="143">
        <v>7.0</v>
      </c>
      <c r="L513" s="144">
        <v>7.0</v>
      </c>
      <c r="M513" s="144">
        <v>7.0</v>
      </c>
      <c r="N513" s="144">
        <v>7.0</v>
      </c>
      <c r="O513" s="144">
        <v>1.0</v>
      </c>
      <c r="P513" s="144">
        <v>7.0</v>
      </c>
      <c r="Q513" s="447">
        <v>5.0</v>
      </c>
      <c r="R513" s="448"/>
      <c r="S513" s="405">
        <f>IF(ISTEXT($V513), "TBD", RANK(V513,$V509:$V515))</f>
        <v>7</v>
      </c>
      <c r="T513" s="225">
        <v>1.0</v>
      </c>
      <c r="U513" s="225" t="b">
        <f>Rankings!$S513=Rankings!$T513</f>
        <v>0</v>
      </c>
      <c r="V513" s="443">
        <f>IF(ISTEXT(Rankings!F513), "TBD", (RANK($F513,$F509:$F515) + IF(ISTEXT($H513), 0, (RANK($H513,$H509:$H515)/10)) + (RANK($G513,$G509:$G515)/100)))</f>
        <v>1.12</v>
      </c>
      <c r="W513" s="153"/>
    </row>
    <row r="514" ht="15.0" customHeight="1">
      <c r="A514" s="134"/>
      <c r="B514" s="134"/>
      <c r="C514" s="134"/>
      <c r="D514" s="219">
        <f t="shared" si="75"/>
        <v>46080</v>
      </c>
      <c r="E514" s="227" t="str">
        <f>$P$1</f>
        <v>Weston</v>
      </c>
      <c r="F514" s="220">
        <f>IFERROR(AVERAGE(Rankings!$K514:$R514), "TBD")</f>
        <v>3.285714286</v>
      </c>
      <c r="G514" s="220">
        <f>IFERROR(_xlfn.STDEV.P(Rankings!$K514:$R514), "TBD")</f>
        <v>0.8806305719</v>
      </c>
      <c r="H514" s="221">
        <f>IFERROR(AVERAGE(Rankings!$K514:$O514, Rankings!$Q514:$R514), "TBD")</f>
        <v>3.5</v>
      </c>
      <c r="I514" s="222" t="s">
        <v>1338</v>
      </c>
      <c r="J514" s="222" t="s">
        <v>1339</v>
      </c>
      <c r="K514" s="143">
        <v>5.0</v>
      </c>
      <c r="L514" s="144">
        <v>3.0</v>
      </c>
      <c r="M514" s="144">
        <v>4.0</v>
      </c>
      <c r="N514" s="144">
        <v>3.0</v>
      </c>
      <c r="O514" s="144">
        <v>3.0</v>
      </c>
      <c r="P514" s="144">
        <v>2.0</v>
      </c>
      <c r="Q514" s="447">
        <v>3.0</v>
      </c>
      <c r="R514" s="448"/>
      <c r="S514" s="405">
        <f>IF(ISTEXT($V514), "TBD", RANK(V514,$V509:$V515))</f>
        <v>2</v>
      </c>
      <c r="T514" s="449">
        <v>1.0</v>
      </c>
      <c r="U514" s="225" t="b">
        <f>Rankings!$S514=Rankings!$T514</f>
        <v>0</v>
      </c>
      <c r="V514" s="443">
        <f>IF(ISTEXT(Rankings!F514), "TBD", (RANK($F514,$F509:$F515) + IF(ISTEXT($H514), 0, (RANK($H514,$H509:$H515)/10)) + (RANK($G514,$G509:$G515)/100)))</f>
        <v>6.66</v>
      </c>
      <c r="W514" s="153"/>
    </row>
    <row r="515" ht="15.0" customHeight="1">
      <c r="A515" s="189"/>
      <c r="B515" s="189"/>
      <c r="C515" s="189"/>
      <c r="D515" s="219">
        <f t="shared" si="75"/>
        <v>46080</v>
      </c>
      <c r="E515" s="131" t="str">
        <f>$Q$1</f>
        <v>Flocco</v>
      </c>
      <c r="F515" s="220">
        <f>IFERROR(AVERAGE(Rankings!$K515:$R515), "TBD")</f>
        <v>1.428571429</v>
      </c>
      <c r="G515" s="220">
        <f>IFERROR(_xlfn.STDEV.P(Rankings!$K515:$R515), "TBD")</f>
        <v>0.4948716593</v>
      </c>
      <c r="H515" s="221">
        <f>IFERROR(AVERAGE(Rankings!$K515:$P515, Rankings!$R515), "TBD")</f>
        <v>1.5</v>
      </c>
      <c r="I515" s="222" t="s">
        <v>1340</v>
      </c>
      <c r="J515" s="222" t="s">
        <v>1341</v>
      </c>
      <c r="K515" s="143">
        <v>1.0</v>
      </c>
      <c r="L515" s="144">
        <v>2.0</v>
      </c>
      <c r="M515" s="144">
        <v>2.0</v>
      </c>
      <c r="N515" s="144">
        <v>1.0</v>
      </c>
      <c r="O515" s="144">
        <v>2.0</v>
      </c>
      <c r="P515" s="144">
        <v>1.0</v>
      </c>
      <c r="Q515" s="447">
        <v>1.0</v>
      </c>
      <c r="R515" s="448"/>
      <c r="S515" s="405">
        <f>IF(ISTEXT($V515), "TBD", RANK(V515,$V509:$V515))</f>
        <v>1</v>
      </c>
      <c r="T515" s="449">
        <v>1.0</v>
      </c>
      <c r="U515" s="225" t="b">
        <f>Rankings!$S515=Rankings!$T515</f>
        <v>1</v>
      </c>
      <c r="V515" s="443">
        <f>IF(ISTEXT(Rankings!F515), "TBD", (RANK($F515,$F509:$F515) + IF(ISTEXT($H515), 0, (RANK($H515,$H509:$H515)/10)) + (RANK($G515,$G509:$G515)/100)))</f>
        <v>7.77</v>
      </c>
      <c r="W515" s="208"/>
    </row>
    <row r="516" ht="15.0" customHeight="1">
      <c r="A516" s="103">
        <v>46083.0</v>
      </c>
      <c r="B516" s="104"/>
      <c r="C516" s="104" t="str">
        <f t="array" ref="C516">INDEX(Rankings!$E516:$E522, MATCH(1, (Rankings!$D516:$D522=$A516)*(Rankings!$U516:$U522=TRUE()), 0))</f>
        <v>Rosey</v>
      </c>
      <c r="D516" s="111">
        <f>A516</f>
        <v>46083</v>
      </c>
      <c r="E516" s="113" t="str">
        <f>$K$1</f>
        <v>Logan</v>
      </c>
      <c r="F516" s="115">
        <f>IFERROR(AVERAGE(Rankings!$K516:$R516), "TBD")</f>
        <v>4.428571429</v>
      </c>
      <c r="G516" s="115">
        <f>IFERROR(_xlfn.STDEV.P(Rankings!$K516:$R516), "TBD")</f>
        <v>1.761261144</v>
      </c>
      <c r="H516" s="117">
        <f>IFERROR(AVERAGE(Rankings!$L516:$R516), "TBD")</f>
        <v>4.5</v>
      </c>
      <c r="I516" s="119" t="s">
        <v>1342</v>
      </c>
      <c r="J516" s="119" t="s">
        <v>1343</v>
      </c>
      <c r="K516" s="120">
        <v>4.0</v>
      </c>
      <c r="L516" s="121">
        <v>7.0</v>
      </c>
      <c r="M516" s="121">
        <v>2.0</v>
      </c>
      <c r="N516" s="121">
        <v>2.0</v>
      </c>
      <c r="O516" s="121">
        <v>5.0</v>
      </c>
      <c r="P516" s="121">
        <v>6.0</v>
      </c>
      <c r="Q516" s="445">
        <v>5.0</v>
      </c>
      <c r="R516" s="446"/>
      <c r="S516" s="401">
        <f>IF(ISTEXT($V516), "TBD", RANK(V516,$V516:$V522))</f>
        <v>4</v>
      </c>
      <c r="T516" s="217">
        <v>1.0</v>
      </c>
      <c r="U516" s="217" t="b">
        <f>Rankings!$S516=Rankings!$T516</f>
        <v>0</v>
      </c>
      <c r="V516" s="443">
        <f>IF(ISTEXT(Rankings!F516), "TBD", (RANK($F516,$F516:$F522) + IF(ISTEXT($H516), 0, (RANK($H516,$H516:$H522)/10)) + (RANK($G516,$G516:$G522)/100)))</f>
        <v>3.45</v>
      </c>
      <c r="W516" s="259"/>
    </row>
    <row r="517" ht="15.0" customHeight="1">
      <c r="A517" s="134"/>
      <c r="B517" s="134"/>
      <c r="C517" s="134"/>
      <c r="D517" s="219">
        <f>D516</f>
        <v>46083</v>
      </c>
      <c r="E517" s="138" t="str">
        <f>$L$1</f>
        <v>Parker</v>
      </c>
      <c r="F517" s="220">
        <f>IFERROR(AVERAGE(Rankings!$K517:$R517), "TBD")</f>
        <v>4.571428571</v>
      </c>
      <c r="G517" s="220">
        <f>IFERROR(_xlfn.STDEV.P(Rankings!$K517:$R517), "TBD")</f>
        <v>1.498298355</v>
      </c>
      <c r="H517" s="221">
        <f>IFERROR(AVERAGE(Rankings!$K517, Rankings!$M517:$R517), "TBD")</f>
        <v>5</v>
      </c>
      <c r="I517" s="222" t="s">
        <v>1344</v>
      </c>
      <c r="J517" s="222" t="s">
        <v>1345</v>
      </c>
      <c r="K517" s="143">
        <v>5.0</v>
      </c>
      <c r="L517" s="144">
        <v>2.0</v>
      </c>
      <c r="M517" s="144">
        <v>6.0</v>
      </c>
      <c r="N517" s="144">
        <v>3.0</v>
      </c>
      <c r="O517" s="144">
        <v>6.0</v>
      </c>
      <c r="P517" s="144">
        <v>4.0</v>
      </c>
      <c r="Q517" s="447">
        <v>6.0</v>
      </c>
      <c r="R517" s="448"/>
      <c r="S517" s="405">
        <f>IF(ISTEXT($V517), "TBD", RANK(V517,$V516:$V522))</f>
        <v>6</v>
      </c>
      <c r="T517" s="225">
        <v>1.0</v>
      </c>
      <c r="U517" s="225" t="b">
        <f>Rankings!$S517=Rankings!$T517</f>
        <v>0</v>
      </c>
      <c r="V517" s="443">
        <f>IF(ISTEXT(Rankings!F517), "TBD", (RANK($F517,$F516:$F522) + IF(ISTEXT($H517), 0, (RANK($H517,$H516:$H522)/10)) + (RANK($G517,$G516:$G522)/100)))</f>
        <v>2.16</v>
      </c>
      <c r="W517" s="153"/>
    </row>
    <row r="518" ht="15.0" customHeight="1">
      <c r="A518" s="134"/>
      <c r="B518" s="134"/>
      <c r="C518" s="134"/>
      <c r="D518" s="219">
        <f>D516</f>
        <v>46083</v>
      </c>
      <c r="E518" s="227" t="str">
        <f>$M$1</f>
        <v>Giacomo</v>
      </c>
      <c r="F518" s="220">
        <f>IFERROR(AVERAGE(Rankings!$K518:$R518), "TBD")</f>
        <v>4.714285714</v>
      </c>
      <c r="G518" s="220">
        <f>IFERROR(_xlfn.STDEV.P(Rankings!$K518:$R518), "TBD")</f>
        <v>2.249716535</v>
      </c>
      <c r="H518" s="221">
        <f>IFERROR(AVERAGE(Rankings!$K518:$L518, Rankings!$N518:$R518), "TBD")</f>
        <v>5</v>
      </c>
      <c r="I518" s="222" t="s">
        <v>1346</v>
      </c>
      <c r="J518" s="222" t="s">
        <v>1347</v>
      </c>
      <c r="K518" s="143">
        <v>7.0</v>
      </c>
      <c r="L518" s="144">
        <v>3.0</v>
      </c>
      <c r="M518" s="144">
        <v>3.0</v>
      </c>
      <c r="N518" s="144">
        <v>5.0</v>
      </c>
      <c r="O518" s="144">
        <v>1.0</v>
      </c>
      <c r="P518" s="144">
        <v>7.0</v>
      </c>
      <c r="Q518" s="447">
        <v>7.0</v>
      </c>
      <c r="R518" s="448"/>
      <c r="S518" s="405">
        <f>IF(ISTEXT($V518), "TBD", RANK(V518,$V516:$V522))</f>
        <v>7</v>
      </c>
      <c r="T518" s="225">
        <v>1.0</v>
      </c>
      <c r="U518" s="225" t="b">
        <f>Rankings!$S518=Rankings!$T518</f>
        <v>0</v>
      </c>
      <c r="V518" s="443">
        <f>IF(ISTEXT(Rankings!F518), "TBD", (RANK($F518,$F516:$F522) + IF(ISTEXT($H518), 0, (RANK($H518,$H516:$H522)/10)) + (RANK($G518,$G516:$G522)/100)))</f>
        <v>1.11</v>
      </c>
      <c r="W518" s="153"/>
    </row>
    <row r="519" ht="15.0" customHeight="1">
      <c r="A519" s="134"/>
      <c r="B519" s="134"/>
      <c r="C519" s="134"/>
      <c r="D519" s="219">
        <f>D516</f>
        <v>46083</v>
      </c>
      <c r="E519" s="227" t="str">
        <f>$N$1</f>
        <v>Rosey</v>
      </c>
      <c r="F519" s="220">
        <f>IFERROR(AVERAGE(Rankings!$K519:$R519), "TBD")</f>
        <v>2.142857143</v>
      </c>
      <c r="G519" s="220">
        <f>IFERROR(_xlfn.STDEV.P(Rankings!$K519:$R519), "TBD")</f>
        <v>1.355261854</v>
      </c>
      <c r="H519" s="221">
        <f>IFERROR(AVERAGE(Rankings!$K519:$M519, Rankings!$O519:$R519), "TBD")</f>
        <v>2.333333333</v>
      </c>
      <c r="I519" s="222" t="s">
        <v>465</v>
      </c>
      <c r="J519" s="222" t="s">
        <v>541</v>
      </c>
      <c r="K519" s="143">
        <v>3.0</v>
      </c>
      <c r="L519" s="144">
        <v>1.0</v>
      </c>
      <c r="M519" s="144">
        <v>1.0</v>
      </c>
      <c r="N519" s="144">
        <v>1.0</v>
      </c>
      <c r="O519" s="144">
        <v>4.0</v>
      </c>
      <c r="P519" s="144">
        <v>1.0</v>
      </c>
      <c r="Q519" s="447">
        <v>4.0</v>
      </c>
      <c r="R519" s="448"/>
      <c r="S519" s="405">
        <f>IF(ISTEXT($V519), "TBD", RANK(V519,$V516:$V522))</f>
        <v>1</v>
      </c>
      <c r="T519" s="225">
        <v>1.0</v>
      </c>
      <c r="U519" s="225" t="b">
        <f>Rankings!$S519=Rankings!$T519</f>
        <v>1</v>
      </c>
      <c r="V519" s="443">
        <f>IF(ISTEXT(Rankings!F519), "TBD", (RANK($F519,$F516:$F522) + IF(ISTEXT($H519), 0, (RANK($H519,$H516:$H522)/10)) + (RANK($G519,$G516:$G522)/100)))</f>
        <v>7.77</v>
      </c>
      <c r="W519" s="153"/>
    </row>
    <row r="520" ht="15.0" customHeight="1">
      <c r="A520" s="134"/>
      <c r="B520" s="134"/>
      <c r="C520" s="134"/>
      <c r="D520" s="219">
        <f t="shared" ref="D520:D522" si="76">D516</f>
        <v>46083</v>
      </c>
      <c r="E520" s="227" t="str">
        <f>$O$1</f>
        <v>TTAC</v>
      </c>
      <c r="F520" s="220">
        <f>IFERROR(AVERAGE(Rankings!$K520:$R520), "TBD")</f>
        <v>4.142857143</v>
      </c>
      <c r="G520" s="220">
        <f>IFERROR(_xlfn.STDEV.P(Rankings!$K520:$R520), "TBD")</f>
        <v>1.884415137</v>
      </c>
      <c r="H520" s="221">
        <f>IFERROR(AVERAGE(Rankings!$K520:$N520, Rankings!$P520:$R520), "TBD")</f>
        <v>4.333333333</v>
      </c>
      <c r="I520" s="222" t="s">
        <v>1348</v>
      </c>
      <c r="J520" s="222" t="s">
        <v>832</v>
      </c>
      <c r="K520" s="143">
        <v>1.0</v>
      </c>
      <c r="L520" s="144">
        <v>4.0</v>
      </c>
      <c r="M520" s="144">
        <v>7.0</v>
      </c>
      <c r="N520" s="144">
        <v>6.0</v>
      </c>
      <c r="O520" s="144">
        <v>3.0</v>
      </c>
      <c r="P520" s="144">
        <v>5.0</v>
      </c>
      <c r="Q520" s="447">
        <v>3.0</v>
      </c>
      <c r="R520" s="448"/>
      <c r="S520" s="405">
        <f>IF(ISTEXT($V520), "TBD", RANK(V520,$V516:$V522))</f>
        <v>3</v>
      </c>
      <c r="T520" s="225">
        <v>1.0</v>
      </c>
      <c r="U520" s="225" t="b">
        <f>Rankings!$S520=Rankings!$T520</f>
        <v>0</v>
      </c>
      <c r="V520" s="443">
        <f>IF(ISTEXT(Rankings!F520), "TBD", (RANK($F520,$F516:$F522) + IF(ISTEXT($H520), 0, (RANK($H520,$H516:$H522)/10)) + (RANK($G520,$G516:$G522)/100)))</f>
        <v>5.53</v>
      </c>
      <c r="W520" s="153"/>
    </row>
    <row r="521" ht="15.0" customHeight="1">
      <c r="A521" s="134"/>
      <c r="B521" s="134"/>
      <c r="C521" s="134"/>
      <c r="D521" s="219">
        <f t="shared" si="76"/>
        <v>46083</v>
      </c>
      <c r="E521" s="227" t="str">
        <f>$P$1</f>
        <v>Weston</v>
      </c>
      <c r="F521" s="220">
        <f>IFERROR(AVERAGE(Rankings!$K521:$R521), "TBD")</f>
        <v>4.428571429</v>
      </c>
      <c r="G521" s="220">
        <f>IFERROR(_xlfn.STDEV.P(Rankings!$K521:$R521), "TBD")</f>
        <v>1.840585532</v>
      </c>
      <c r="H521" s="221">
        <f>IFERROR(AVERAGE(Rankings!$K521:$O521, Rankings!$Q521:$R521), "TBD")</f>
        <v>4.666666667</v>
      </c>
      <c r="I521" s="222" t="s">
        <v>1349</v>
      </c>
      <c r="J521" s="222" t="s">
        <v>1350</v>
      </c>
      <c r="K521" s="143">
        <v>6.0</v>
      </c>
      <c r="L521" s="144">
        <v>5.0</v>
      </c>
      <c r="M521" s="144">
        <v>5.0</v>
      </c>
      <c r="N521" s="144">
        <v>4.0</v>
      </c>
      <c r="O521" s="144">
        <v>7.0</v>
      </c>
      <c r="P521" s="144">
        <v>3.0</v>
      </c>
      <c r="Q521" s="447">
        <v>1.0</v>
      </c>
      <c r="R521" s="448"/>
      <c r="S521" s="405">
        <f>IF(ISTEXT($V521), "TBD", RANK(V521,$V516:$V522))</f>
        <v>5</v>
      </c>
      <c r="T521" s="449">
        <v>1.0</v>
      </c>
      <c r="U521" s="225" t="b">
        <f>Rankings!$S521=Rankings!$T521</f>
        <v>0</v>
      </c>
      <c r="V521" s="443">
        <f>IF(ISTEXT(Rankings!F521), "TBD", (RANK($F521,$F516:$F522) + IF(ISTEXT($H521), 0, (RANK($H521,$H516:$H522)/10)) + (RANK($G521,$G516:$G522)/100)))</f>
        <v>3.34</v>
      </c>
      <c r="W521" s="153"/>
    </row>
    <row r="522" ht="15.0" customHeight="1">
      <c r="A522" s="189"/>
      <c r="B522" s="189"/>
      <c r="C522" s="189"/>
      <c r="D522" s="219">
        <f t="shared" si="76"/>
        <v>46083</v>
      </c>
      <c r="E522" s="131" t="str">
        <f>$Q$1</f>
        <v>Flocco</v>
      </c>
      <c r="F522" s="220">
        <f>IFERROR(AVERAGE(Rankings!$K522:$R522), "TBD")</f>
        <v>3.571428571</v>
      </c>
      <c r="G522" s="220">
        <f>IFERROR(_xlfn.STDEV.P(Rankings!$K522:$R522), "TBD")</f>
        <v>1.989769754</v>
      </c>
      <c r="H522" s="221">
        <f>IFERROR(AVERAGE(Rankings!$K522:$P522, Rankings!$R522), "TBD")</f>
        <v>3.833333333</v>
      </c>
      <c r="I522" s="222" t="s">
        <v>1351</v>
      </c>
      <c r="J522" s="222" t="s">
        <v>1352</v>
      </c>
      <c r="K522" s="143">
        <v>2.0</v>
      </c>
      <c r="L522" s="144">
        <v>6.0</v>
      </c>
      <c r="M522" s="144">
        <v>4.0</v>
      </c>
      <c r="N522" s="144">
        <v>7.0</v>
      </c>
      <c r="O522" s="144">
        <v>2.0</v>
      </c>
      <c r="P522" s="144">
        <v>2.0</v>
      </c>
      <c r="Q522" s="447">
        <v>2.0</v>
      </c>
      <c r="R522" s="448"/>
      <c r="S522" s="405">
        <f>IF(ISTEXT($V522), "TBD", RANK(V522,$V516:$V522))</f>
        <v>2</v>
      </c>
      <c r="T522" s="449">
        <v>1.0</v>
      </c>
      <c r="U522" s="225" t="b">
        <f>Rankings!$S522=Rankings!$T522</f>
        <v>0</v>
      </c>
      <c r="V522" s="443">
        <f>IF(ISTEXT(Rankings!F522), "TBD", (RANK($F522,$F516:$F522) + IF(ISTEXT($H522), 0, (RANK($H522,$H516:$H522)/10)) + (RANK($G522,$G516:$G522)/100)))</f>
        <v>6.62</v>
      </c>
      <c r="W522" s="208"/>
    </row>
    <row r="523" ht="15.0" customHeight="1">
      <c r="A523" s="103">
        <v>46085.0</v>
      </c>
      <c r="B523" s="453"/>
      <c r="C523" s="454" t="str">
        <f t="array" ref="C523">INDEX(Rankings!$E523:$E529, MATCH(1, (Rankings!$D523:$D529=$A523)*(Rankings!$U523:$U529=TRUE()), 0))</f>
        <v>Rosey</v>
      </c>
      <c r="D523" s="398">
        <f>A523</f>
        <v>46085</v>
      </c>
      <c r="E523" s="455" t="str">
        <f>$K$1</f>
        <v>Logan</v>
      </c>
      <c r="F523" s="400">
        <f>IFERROR(AVERAGE(Rankings!$K523:$R523), "TBD")</f>
        <v>3.285714286</v>
      </c>
      <c r="G523" s="400">
        <f>IFERROR(_xlfn.STDEV.P(Rankings!$K523:$R523), "TBD")</f>
        <v>1.27775313</v>
      </c>
      <c r="H523" s="400">
        <f>IFERROR(AVERAGE(Rankings!$L523:$R523), "TBD")</f>
        <v>3.333333333</v>
      </c>
      <c r="I523" s="421" t="s">
        <v>1353</v>
      </c>
      <c r="J523" s="421" t="s">
        <v>1354</v>
      </c>
      <c r="K523" s="422">
        <v>3.0</v>
      </c>
      <c r="L523" s="423">
        <v>3.0</v>
      </c>
      <c r="M523" s="423">
        <v>6.0</v>
      </c>
      <c r="N523" s="423">
        <v>4.0</v>
      </c>
      <c r="O523" s="423">
        <v>3.0</v>
      </c>
      <c r="P523" s="423">
        <v>2.0</v>
      </c>
      <c r="Q523" s="456">
        <v>2.0</v>
      </c>
      <c r="R523" s="457"/>
      <c r="S523" s="458">
        <f>IF(ISTEXT($V523), "TBD", RANK(V523,$V523:$V529))</f>
        <v>2</v>
      </c>
      <c r="T523" s="459">
        <v>1.0</v>
      </c>
      <c r="U523" s="460" t="b">
        <f>Rankings!$S523=Rankings!$T523</f>
        <v>0</v>
      </c>
      <c r="V523" s="461">
        <f>IF(ISTEXT(Rankings!F523), "TBD", (RANK($F523,$F523:$F529) + IF(ISTEXT($H523), 0, (RANK($H523,$H523:$H529)/10)) + (RANK($G523,$G523:$G529)/100)))</f>
        <v>6.66</v>
      </c>
      <c r="W523" s="462"/>
    </row>
    <row r="524" ht="15.0" customHeight="1">
      <c r="A524" s="134"/>
      <c r="B524" s="134"/>
      <c r="C524" s="134"/>
      <c r="D524" s="402">
        <f>D523</f>
        <v>46085</v>
      </c>
      <c r="E524" s="463" t="str">
        <f>$L$1</f>
        <v>Parker</v>
      </c>
      <c r="F524" s="404">
        <f>IFERROR(AVERAGE(Rankings!$K524:$R524), "TBD")</f>
        <v>4.285714286</v>
      </c>
      <c r="G524" s="404">
        <f>IFERROR(_xlfn.STDEV.P(Rankings!$K524:$R524), "TBD")</f>
        <v>2.657296463</v>
      </c>
      <c r="H524" s="404">
        <f>IFERROR(AVERAGE(Rankings!$K524, Rankings!$M524:$R524), "TBD")</f>
        <v>4.666666667</v>
      </c>
      <c r="I524" s="429" t="s">
        <v>1355</v>
      </c>
      <c r="J524" s="429" t="s">
        <v>1356</v>
      </c>
      <c r="K524" s="430">
        <v>7.0</v>
      </c>
      <c r="L524" s="431">
        <v>2.0</v>
      </c>
      <c r="M524" s="431">
        <v>1.0</v>
      </c>
      <c r="N524" s="431">
        <v>7.0</v>
      </c>
      <c r="O524" s="431">
        <v>7.0</v>
      </c>
      <c r="P524" s="431">
        <v>1.0</v>
      </c>
      <c r="Q524" s="464">
        <v>5.0</v>
      </c>
      <c r="R524" s="465"/>
      <c r="S524" s="466">
        <f>IF(ISTEXT($V524), "TBD", RANK(V524,$V523:$V529))</f>
        <v>5</v>
      </c>
      <c r="T524" s="467">
        <v>1.0</v>
      </c>
      <c r="U524" s="468" t="b">
        <f>Rankings!$S524=Rankings!$T524</f>
        <v>0</v>
      </c>
      <c r="V524" s="461">
        <f>IF(ISTEXT(Rankings!F524), "TBD", (RANK($F524,$F523:$F529) + IF(ISTEXT($H524), 0, (RANK($H524,$H523:$H529)/10)) + (RANK($G524,$G523:$G529)/100)))</f>
        <v>3.31</v>
      </c>
      <c r="W524" s="153"/>
    </row>
    <row r="525" ht="15.0" customHeight="1">
      <c r="A525" s="134"/>
      <c r="B525" s="134"/>
      <c r="C525" s="134"/>
      <c r="D525" s="406">
        <f>D523</f>
        <v>46085</v>
      </c>
      <c r="E525" s="469" t="str">
        <f>$M$1</f>
        <v>Giacomo</v>
      </c>
      <c r="F525" s="408">
        <f>IFERROR(AVERAGE(Rankings!$K525:$R525), "TBD")</f>
        <v>5</v>
      </c>
      <c r="G525" s="408">
        <f>IFERROR(_xlfn.STDEV.P(Rankings!$K525:$R525), "TBD")</f>
        <v>1.195228609</v>
      </c>
      <c r="H525" s="408">
        <f>IFERROR(AVERAGE(Rankings!$K525:$L525, Rankings!$N525:$R525), "TBD")</f>
        <v>5.333333333</v>
      </c>
      <c r="I525" s="437" t="s">
        <v>1357</v>
      </c>
      <c r="J525" s="437" t="s">
        <v>1358</v>
      </c>
      <c r="K525" s="430">
        <v>5.0</v>
      </c>
      <c r="L525" s="431">
        <v>5.0</v>
      </c>
      <c r="M525" s="431">
        <v>3.0</v>
      </c>
      <c r="N525" s="431">
        <v>6.0</v>
      </c>
      <c r="O525" s="431">
        <v>5.0</v>
      </c>
      <c r="P525" s="431">
        <v>7.0</v>
      </c>
      <c r="Q525" s="464">
        <v>4.0</v>
      </c>
      <c r="R525" s="465"/>
      <c r="S525" s="466">
        <f>IF(ISTEXT($V525), "TBD", RANK(V525,$V523:$V529))</f>
        <v>7</v>
      </c>
      <c r="T525" s="467">
        <v>1.0</v>
      </c>
      <c r="U525" s="468" t="b">
        <f>Rankings!$S525=Rankings!$T525</f>
        <v>0</v>
      </c>
      <c r="V525" s="461">
        <f>IF(ISTEXT(Rankings!F525), "TBD", (RANK($F525,$F523:$F529) + IF(ISTEXT($H525), 0, (RANK($H525,$H523:$H529)/10)) + (RANK($G525,$G523:$G529)/100)))</f>
        <v>1.17</v>
      </c>
      <c r="W525" s="153"/>
    </row>
    <row r="526" ht="15.0" customHeight="1">
      <c r="A526" s="134"/>
      <c r="B526" s="134"/>
      <c r="C526" s="134"/>
      <c r="D526" s="409">
        <f>D523</f>
        <v>46085</v>
      </c>
      <c r="E526" s="470" t="str">
        <f>$N$1</f>
        <v>Rosey</v>
      </c>
      <c r="F526" s="411">
        <f>IFERROR(AVERAGE(Rankings!$K526:$R526), "TBD")</f>
        <v>2.714285714</v>
      </c>
      <c r="G526" s="411">
        <f>IFERROR(_xlfn.STDEV.P(Rankings!$K526:$R526), "TBD")</f>
        <v>2.118913853</v>
      </c>
      <c r="H526" s="411">
        <f>IFERROR(AVERAGE(Rankings!$K526:$M526, Rankings!$O526:$R526), "TBD")</f>
        <v>2.833333333</v>
      </c>
      <c r="I526" s="438" t="s">
        <v>476</v>
      </c>
      <c r="J526" s="438" t="s">
        <v>1359</v>
      </c>
      <c r="K526" s="430">
        <v>1.0</v>
      </c>
      <c r="L526" s="431">
        <v>1.0</v>
      </c>
      <c r="M526" s="431">
        <v>2.0</v>
      </c>
      <c r="N526" s="431">
        <v>2.0</v>
      </c>
      <c r="O526" s="431">
        <v>1.0</v>
      </c>
      <c r="P526" s="431">
        <v>6.0</v>
      </c>
      <c r="Q526" s="464">
        <v>6.0</v>
      </c>
      <c r="R526" s="465"/>
      <c r="S526" s="466">
        <f>IF(ISTEXT($V526), "TBD", RANK(V526,$V523:$V529))</f>
        <v>1</v>
      </c>
      <c r="T526" s="467">
        <v>1.0</v>
      </c>
      <c r="U526" s="468" t="b">
        <f>Rankings!$S526=Rankings!$T526</f>
        <v>1</v>
      </c>
      <c r="V526" s="461">
        <f>IF(ISTEXT(Rankings!F526), "TBD", (RANK($F526,$F523:$F529) + IF(ISTEXT($H526), 0, (RANK($H526,$H523:$H529)/10)) + (RANK($G526,$G523:$G529)/100)))</f>
        <v>7.72</v>
      </c>
      <c r="W526" s="153"/>
    </row>
    <row r="527" ht="15.0" customHeight="1">
      <c r="A527" s="134"/>
      <c r="B527" s="134"/>
      <c r="C527" s="134"/>
      <c r="D527" s="412">
        <f t="shared" ref="D527:D529" si="77">D523</f>
        <v>46085</v>
      </c>
      <c r="E527" s="471" t="str">
        <f>$O$1</f>
        <v>TTAC</v>
      </c>
      <c r="F527" s="414">
        <f>IFERROR(AVERAGE(Rankings!$K527:$R527), "TBD")</f>
        <v>4.857142857</v>
      </c>
      <c r="G527" s="414">
        <f>IFERROR(_xlfn.STDEV.P(Rankings!$K527:$R527), "TBD")</f>
        <v>1.958758457</v>
      </c>
      <c r="H527" s="414">
        <f>IFERROR(AVERAGE(Rankings!$K527:$N527, Rankings!$P527:$R527), "TBD")</f>
        <v>5</v>
      </c>
      <c r="I527" s="439" t="s">
        <v>1360</v>
      </c>
      <c r="J527" s="439" t="s">
        <v>1361</v>
      </c>
      <c r="K527" s="430">
        <v>6.0</v>
      </c>
      <c r="L527" s="431">
        <v>7.0</v>
      </c>
      <c r="M527" s="431">
        <v>4.0</v>
      </c>
      <c r="N527" s="431">
        <v>1.0</v>
      </c>
      <c r="O527" s="431">
        <v>4.0</v>
      </c>
      <c r="P527" s="431">
        <v>5.0</v>
      </c>
      <c r="Q527" s="464">
        <v>7.0</v>
      </c>
      <c r="R527" s="465"/>
      <c r="S527" s="466">
        <f>IF(ISTEXT($V527), "TBD", RANK(V527,$V523:$V529))</f>
        <v>6</v>
      </c>
      <c r="T527" s="467">
        <v>1.0</v>
      </c>
      <c r="U527" s="468" t="b">
        <f>Rankings!$S527=Rankings!$T527</f>
        <v>0</v>
      </c>
      <c r="V527" s="461">
        <f>IF(ISTEXT(Rankings!F527), "TBD", (RANK($F527,$F523:$F529) + IF(ISTEXT($H527), 0, (RANK($H527,$H523:$H529)/10)) + (RANK($G527,$G523:$G529)/100)))</f>
        <v>2.23</v>
      </c>
      <c r="W527" s="153"/>
    </row>
    <row r="528" ht="15.0" customHeight="1">
      <c r="A528" s="134"/>
      <c r="B528" s="134"/>
      <c r="C528" s="134"/>
      <c r="D528" s="415">
        <f t="shared" si="77"/>
        <v>46085</v>
      </c>
      <c r="E528" s="472" t="str">
        <f>$P$1</f>
        <v>Weston</v>
      </c>
      <c r="F528" s="418">
        <f>IFERROR(AVERAGE(Rankings!$K528:$R528), "TBD")</f>
        <v>4.285714286</v>
      </c>
      <c r="G528" s="418">
        <f>IFERROR(_xlfn.STDEV.P(Rankings!$K528:$R528), "TBD")</f>
        <v>1.829464068</v>
      </c>
      <c r="H528" s="418">
        <f>IFERROR(AVERAGE(Rankings!$K528:$O528, Rankings!$Q528:$R528), "TBD")</f>
        <v>4.5</v>
      </c>
      <c r="I528" s="440" t="s">
        <v>1362</v>
      </c>
      <c r="J528" s="440" t="s">
        <v>1363</v>
      </c>
      <c r="K528" s="430">
        <v>2.0</v>
      </c>
      <c r="L528" s="431">
        <v>6.0</v>
      </c>
      <c r="M528" s="431">
        <v>7.0</v>
      </c>
      <c r="N528" s="431">
        <v>3.0</v>
      </c>
      <c r="O528" s="431">
        <v>6.0</v>
      </c>
      <c r="P528" s="431">
        <v>3.0</v>
      </c>
      <c r="Q528" s="464">
        <v>3.0</v>
      </c>
      <c r="R528" s="465"/>
      <c r="S528" s="466">
        <f>IF(ISTEXT($V528), "TBD", RANK(V528,$V523:$V529))</f>
        <v>4</v>
      </c>
      <c r="T528" s="467">
        <v>1.0</v>
      </c>
      <c r="U528" s="468" t="b">
        <f>Rankings!$S528=Rankings!$T528</f>
        <v>0</v>
      </c>
      <c r="V528" s="461">
        <f>IF(ISTEXT(Rankings!F528), "TBD", (RANK($F528,$F523:$F529) + IF(ISTEXT($H528), 0, (RANK($H528,$H523:$H529)/10)) + (RANK($G528,$G523:$G529)/100)))</f>
        <v>3.44</v>
      </c>
      <c r="W528" s="153"/>
    </row>
    <row r="529" ht="15.0" customHeight="1">
      <c r="A529" s="189"/>
      <c r="B529" s="189"/>
      <c r="C529" s="189"/>
      <c r="D529" s="473">
        <f t="shared" si="77"/>
        <v>46085</v>
      </c>
      <c r="E529" s="131" t="str">
        <f>$Q$1</f>
        <v>Flocco</v>
      </c>
      <c r="F529" s="474">
        <f>IFERROR(AVERAGE(Rankings!$K529:$R529), "TBD")</f>
        <v>3.571428571</v>
      </c>
      <c r="G529" s="474">
        <f>IFERROR(_xlfn.STDEV.P(Rankings!$K529:$R529), "TBD")</f>
        <v>1.399708424</v>
      </c>
      <c r="H529" s="474">
        <f>IFERROR(AVERAGE(Rankings!$K529:$P529, Rankings!$R529), "TBD")</f>
        <v>4</v>
      </c>
      <c r="I529" s="475" t="s">
        <v>1364</v>
      </c>
      <c r="J529" s="475" t="s">
        <v>1365</v>
      </c>
      <c r="K529" s="430">
        <v>4.0</v>
      </c>
      <c r="L529" s="431">
        <v>4.0</v>
      </c>
      <c r="M529" s="431">
        <v>5.0</v>
      </c>
      <c r="N529" s="431">
        <v>5.0</v>
      </c>
      <c r="O529" s="431">
        <v>2.0</v>
      </c>
      <c r="P529" s="431">
        <v>4.0</v>
      </c>
      <c r="Q529" s="464">
        <v>1.0</v>
      </c>
      <c r="R529" s="465"/>
      <c r="S529" s="466">
        <f>IF(ISTEXT($V529), "TBD", RANK(V529,$V523:$V529))</f>
        <v>3</v>
      </c>
      <c r="T529" s="467">
        <v>1.0</v>
      </c>
      <c r="U529" s="468" t="b">
        <f>Rankings!$S529=Rankings!$T529</f>
        <v>0</v>
      </c>
      <c r="V529" s="461">
        <f>IF(ISTEXT(Rankings!F529), "TBD", (RANK($F529,$F523:$F529) + IF(ISTEXT($H529), 0, (RANK($H529,$H523:$H529)/10)) + (RANK($G529,$G523:$G529)/100)))</f>
        <v>5.55</v>
      </c>
      <c r="W529" s="208"/>
    </row>
    <row r="530" ht="15.0" customHeight="1">
      <c r="A530" s="103">
        <v>46087.0</v>
      </c>
      <c r="B530" s="453"/>
      <c r="C530" s="454" t="str">
        <f t="array" ref="C530">INDEX(Rankings!$E530:$E536, MATCH(1, (Rankings!$D530:$D536=$A530)*(Rankings!$U530:$U536=TRUE()), 0))</f>
        <v>Logan</v>
      </c>
      <c r="D530" s="398">
        <f>A530</f>
        <v>46087</v>
      </c>
      <c r="E530" s="455" t="str">
        <f>$K$1</f>
        <v>Logan</v>
      </c>
      <c r="F530" s="400">
        <f>IFERROR(AVERAGE(Rankings!$K530:$R530), "TBD")</f>
        <v>1.857142857</v>
      </c>
      <c r="G530" s="400">
        <f>IFERROR(_xlfn.STDEV.P(Rankings!$K530:$R530), "TBD")</f>
        <v>1.124858268</v>
      </c>
      <c r="H530" s="400">
        <f>IFERROR(AVERAGE(Rankings!$L530:$R530), "TBD")</f>
        <v>1.666666667</v>
      </c>
      <c r="I530" s="421" t="s">
        <v>468</v>
      </c>
      <c r="J530" s="421" t="s">
        <v>1366</v>
      </c>
      <c r="K530" s="422">
        <v>3.0</v>
      </c>
      <c r="L530" s="423">
        <v>4.0</v>
      </c>
      <c r="M530" s="423">
        <v>1.0</v>
      </c>
      <c r="N530" s="423">
        <v>1.0</v>
      </c>
      <c r="O530" s="423">
        <v>2.0</v>
      </c>
      <c r="P530" s="423">
        <v>1.0</v>
      </c>
      <c r="Q530" s="456">
        <v>1.0</v>
      </c>
      <c r="R530" s="457"/>
      <c r="S530" s="458">
        <f>IF(ISTEXT($V530), "TBD", RANK(V530,$V530:$V536))</f>
        <v>1</v>
      </c>
      <c r="T530" s="459">
        <v>1.0</v>
      </c>
      <c r="U530" s="460" t="b">
        <f>Rankings!$S530=Rankings!$T530</f>
        <v>1</v>
      </c>
      <c r="V530" s="461">
        <f>IF(ISTEXT(Rankings!F530), "TBD", (RANK($F530,$F530:$F536) + IF(ISTEXT($H530), 0, (RANK($H530,$H530:$H536)/10)) + (RANK($G530,$G530:$G536)/100)))</f>
        <v>7.75</v>
      </c>
      <c r="W530" s="476" t="s">
        <v>1367</v>
      </c>
    </row>
    <row r="531" ht="15.0" customHeight="1">
      <c r="A531" s="134"/>
      <c r="B531" s="134"/>
      <c r="C531" s="134"/>
      <c r="D531" s="402">
        <f>D530</f>
        <v>46087</v>
      </c>
      <c r="E531" s="463" t="str">
        <f>$L$1</f>
        <v>Parker</v>
      </c>
      <c r="F531" s="404">
        <f>IFERROR(AVERAGE(Rankings!$K531:$R531), "TBD")</f>
        <v>4.285714286</v>
      </c>
      <c r="G531" s="404">
        <f>IFERROR(_xlfn.STDEV.P(Rankings!$K531:$R531), "TBD")</f>
        <v>1.665986256</v>
      </c>
      <c r="H531" s="404">
        <f>IFERROR(AVERAGE(Rankings!$K531, Rankings!$M531:$R531), "TBD")</f>
        <v>4.5</v>
      </c>
      <c r="I531" s="429" t="s">
        <v>1368</v>
      </c>
      <c r="J531" s="429" t="s">
        <v>672</v>
      </c>
      <c r="K531" s="430">
        <v>2.0</v>
      </c>
      <c r="L531" s="431">
        <v>3.0</v>
      </c>
      <c r="M531" s="431">
        <v>5.0</v>
      </c>
      <c r="N531" s="431">
        <v>6.0</v>
      </c>
      <c r="O531" s="431">
        <v>7.0</v>
      </c>
      <c r="P531" s="431">
        <v>4.0</v>
      </c>
      <c r="Q531" s="464">
        <v>3.0</v>
      </c>
      <c r="R531" s="465"/>
      <c r="S531" s="466">
        <f>IF(ISTEXT($V531), "TBD", RANK(V531,$V530:$V536))</f>
        <v>5</v>
      </c>
      <c r="T531" s="467">
        <v>1.0</v>
      </c>
      <c r="U531" s="468" t="b">
        <f>Rankings!$S531=Rankings!$T531</f>
        <v>0</v>
      </c>
      <c r="V531" s="461">
        <f>IF(ISTEXT(Rankings!F531), "TBD", (RANK($F531,$F530:$F536) + IF(ISTEXT($H531), 0, (RANK($H531,$H530:$H536)/10)) + (RANK($G531,$G530:$G536)/100)))</f>
        <v>3.32</v>
      </c>
      <c r="W531" s="153"/>
    </row>
    <row r="532" ht="15.0" customHeight="1">
      <c r="A532" s="134"/>
      <c r="B532" s="134"/>
      <c r="C532" s="134"/>
      <c r="D532" s="406">
        <f>D530</f>
        <v>46087</v>
      </c>
      <c r="E532" s="469" t="str">
        <f>$M$1</f>
        <v>Giacomo</v>
      </c>
      <c r="F532" s="408">
        <f>IFERROR(AVERAGE(Rankings!$K532:$R532), "TBD")</f>
        <v>4.857142857</v>
      </c>
      <c r="G532" s="408">
        <f>IFERROR(_xlfn.STDEV.P(Rankings!$K532:$R532), "TBD")</f>
        <v>2.166535841</v>
      </c>
      <c r="H532" s="408">
        <f>IFERROR(AVERAGE(Rankings!$K532:$L532, Rankings!$N532:$R532), "TBD")</f>
        <v>4.666666667</v>
      </c>
      <c r="I532" s="437" t="s">
        <v>1369</v>
      </c>
      <c r="J532" s="437" t="s">
        <v>1370</v>
      </c>
      <c r="K532" s="430">
        <v>1.0</v>
      </c>
      <c r="L532" s="431">
        <v>6.0</v>
      </c>
      <c r="M532" s="431">
        <v>6.0</v>
      </c>
      <c r="N532" s="431">
        <v>2.0</v>
      </c>
      <c r="O532" s="431">
        <v>6.0</v>
      </c>
      <c r="P532" s="431">
        <v>6.0</v>
      </c>
      <c r="Q532" s="464">
        <v>7.0</v>
      </c>
      <c r="R532" s="465"/>
      <c r="S532" s="466">
        <f>IF(ISTEXT($V532), "TBD", RANK(V532,$V530:$V536))</f>
        <v>6</v>
      </c>
      <c r="T532" s="467">
        <v>1.0</v>
      </c>
      <c r="U532" s="468" t="b">
        <f>Rankings!$S532=Rankings!$T532</f>
        <v>0</v>
      </c>
      <c r="V532" s="461">
        <f>IF(ISTEXT(Rankings!F532), "TBD", (RANK($F532,$F530:$F536) + IF(ISTEXT($H532), 0, (RANK($H532,$H530:$H536)/10)) + (RANK($G532,$G530:$G536)/100)))</f>
        <v>2.21</v>
      </c>
      <c r="W532" s="153"/>
    </row>
    <row r="533" ht="15.0" customHeight="1">
      <c r="A533" s="134"/>
      <c r="B533" s="134"/>
      <c r="C533" s="134"/>
      <c r="D533" s="409">
        <f>D530</f>
        <v>46087</v>
      </c>
      <c r="E533" s="470" t="str">
        <f>$N$1</f>
        <v>Rosey</v>
      </c>
      <c r="F533" s="411">
        <f>IFERROR(AVERAGE(Rankings!$K533:$R533), "TBD")</f>
        <v>4.142857143</v>
      </c>
      <c r="G533" s="411">
        <f>IFERROR(_xlfn.STDEV.P(Rankings!$K533:$R533), "TBD")</f>
        <v>0.9897433186</v>
      </c>
      <c r="H533" s="411">
        <f>IFERROR(AVERAGE(Rankings!$K533:$M533, Rankings!$O533:$R533), "TBD")</f>
        <v>4</v>
      </c>
      <c r="I533" s="438" t="s">
        <v>1371</v>
      </c>
      <c r="J533" s="438" t="s">
        <v>1372</v>
      </c>
      <c r="K533" s="430">
        <v>4.0</v>
      </c>
      <c r="L533" s="431">
        <v>2.0</v>
      </c>
      <c r="M533" s="431">
        <v>4.0</v>
      </c>
      <c r="N533" s="431">
        <v>5.0</v>
      </c>
      <c r="O533" s="431">
        <v>4.0</v>
      </c>
      <c r="P533" s="431">
        <v>5.0</v>
      </c>
      <c r="Q533" s="464">
        <v>5.0</v>
      </c>
      <c r="R533" s="465"/>
      <c r="S533" s="466">
        <f>IF(ISTEXT($V533), "TBD", RANK(V533,$V530:$V536))</f>
        <v>3</v>
      </c>
      <c r="T533" s="467">
        <v>1.0</v>
      </c>
      <c r="U533" s="468" t="b">
        <f>Rankings!$S533=Rankings!$T533</f>
        <v>0</v>
      </c>
      <c r="V533" s="461">
        <f>IF(ISTEXT(Rankings!F533), "TBD", (RANK($F533,$F530:$F536) + IF(ISTEXT($H533), 0, (RANK($H533,$H530:$H536)/10)) + (RANK($G533,$G530:$G536)/100)))</f>
        <v>5.57</v>
      </c>
      <c r="W533" s="153"/>
    </row>
    <row r="534" ht="15.0" customHeight="1">
      <c r="A534" s="134"/>
      <c r="B534" s="134"/>
      <c r="C534" s="134"/>
      <c r="D534" s="412">
        <f t="shared" ref="D534:D536" si="78">D530</f>
        <v>46087</v>
      </c>
      <c r="E534" s="471" t="str">
        <f>$O$1</f>
        <v>TTAC</v>
      </c>
      <c r="F534" s="414">
        <f>IFERROR(AVERAGE(Rankings!$K534:$R534), "TBD")</f>
        <v>6.285714286</v>
      </c>
      <c r="G534" s="414">
        <f>IFERROR(_xlfn.STDEV.P(Rankings!$K534:$R534), "TBD")</f>
        <v>1.385051388</v>
      </c>
      <c r="H534" s="414">
        <f>IFERROR(AVERAGE(Rankings!$K534:$N534, Rankings!$P534:$R534), "TBD")</f>
        <v>6.833333333</v>
      </c>
      <c r="I534" s="439" t="s">
        <v>1373</v>
      </c>
      <c r="J534" s="439" t="s">
        <v>1374</v>
      </c>
      <c r="K534" s="430">
        <v>7.0</v>
      </c>
      <c r="L534" s="431">
        <v>7.0</v>
      </c>
      <c r="M534" s="431">
        <v>7.0</v>
      </c>
      <c r="N534" s="431">
        <v>7.0</v>
      </c>
      <c r="O534" s="431">
        <v>3.0</v>
      </c>
      <c r="P534" s="431">
        <v>7.0</v>
      </c>
      <c r="Q534" s="464">
        <v>6.0</v>
      </c>
      <c r="R534" s="465"/>
      <c r="S534" s="466">
        <f>IF(ISTEXT($V534), "TBD", RANK(V534,$V530:$V536))</f>
        <v>7</v>
      </c>
      <c r="T534" s="467">
        <v>1.0</v>
      </c>
      <c r="U534" s="468" t="b">
        <f>Rankings!$S534=Rankings!$T534</f>
        <v>0</v>
      </c>
      <c r="V534" s="461">
        <f>IF(ISTEXT(Rankings!F534), "TBD", (RANK($F534,$F530:$F536) + IF(ISTEXT($H534), 0, (RANK($H534,$H530:$H536)/10)) + (RANK($G534,$G530:$G536)/100)))</f>
        <v>1.13</v>
      </c>
      <c r="W534" s="153"/>
    </row>
    <row r="535" ht="15.0" customHeight="1">
      <c r="A535" s="134"/>
      <c r="B535" s="134"/>
      <c r="C535" s="134"/>
      <c r="D535" s="415">
        <f t="shared" si="78"/>
        <v>46087</v>
      </c>
      <c r="E535" s="472" t="str">
        <f>$P$1</f>
        <v>Weston</v>
      </c>
      <c r="F535" s="418">
        <f>IFERROR(AVERAGE(Rankings!$K535:$R535), "TBD")</f>
        <v>2.285714286</v>
      </c>
      <c r="G535" s="418">
        <f>IFERROR(_xlfn.STDEV.P(Rankings!$K535:$R535), "TBD")</f>
        <v>1.27775313</v>
      </c>
      <c r="H535" s="418">
        <f>IFERROR(AVERAGE(Rankings!$K535:$O535, Rankings!$Q535:$R535), "TBD")</f>
        <v>2.333333333</v>
      </c>
      <c r="I535" s="440" t="s">
        <v>1375</v>
      </c>
      <c r="J535" s="440" t="s">
        <v>1376</v>
      </c>
      <c r="K535" s="430">
        <v>5.0</v>
      </c>
      <c r="L535" s="431">
        <v>1.0</v>
      </c>
      <c r="M535" s="431">
        <v>2.0</v>
      </c>
      <c r="N535" s="431">
        <v>3.0</v>
      </c>
      <c r="O535" s="431">
        <v>1.0</v>
      </c>
      <c r="P535" s="431">
        <v>2.0</v>
      </c>
      <c r="Q535" s="464">
        <v>2.0</v>
      </c>
      <c r="R535" s="465"/>
      <c r="S535" s="466">
        <f>IF(ISTEXT($V535), "TBD", RANK(V535,$V530:$V536))</f>
        <v>2</v>
      </c>
      <c r="T535" s="467">
        <v>1.0</v>
      </c>
      <c r="U535" s="468" t="b">
        <f>Rankings!$S535=Rankings!$T535</f>
        <v>0</v>
      </c>
      <c r="V535" s="461">
        <f>IF(ISTEXT(Rankings!F535), "TBD", (RANK($F535,$F530:$F536) + IF(ISTEXT($H535), 0, (RANK($H535,$H530:$H536)/10)) + (RANK($G535,$G530:$G536)/100)))</f>
        <v>6.64</v>
      </c>
      <c r="W535" s="153"/>
    </row>
    <row r="536" ht="15.0" customHeight="1">
      <c r="A536" s="189"/>
      <c r="B536" s="189"/>
      <c r="C536" s="189"/>
      <c r="D536" s="473">
        <f t="shared" si="78"/>
        <v>46087</v>
      </c>
      <c r="E536" s="131" t="str">
        <f>$Q$1</f>
        <v>Flocco</v>
      </c>
      <c r="F536" s="474">
        <f>IFERROR(AVERAGE(Rankings!$K536:$R536), "TBD")</f>
        <v>4.285714286</v>
      </c>
      <c r="G536" s="474">
        <f>IFERROR(_xlfn.STDEV.P(Rankings!$K536:$R536), "TBD")</f>
        <v>1.030157507</v>
      </c>
      <c r="H536" s="474">
        <f>IFERROR(AVERAGE(Rankings!$K536:$P536, Rankings!$R536), "TBD")</f>
        <v>4.333333333</v>
      </c>
      <c r="I536" s="475" t="s">
        <v>1377</v>
      </c>
      <c r="J536" s="475" t="s">
        <v>1378</v>
      </c>
      <c r="K536" s="430">
        <v>6.0</v>
      </c>
      <c r="L536" s="431">
        <v>5.0</v>
      </c>
      <c r="M536" s="431">
        <v>3.0</v>
      </c>
      <c r="N536" s="431">
        <v>4.0</v>
      </c>
      <c r="O536" s="431">
        <v>5.0</v>
      </c>
      <c r="P536" s="431">
        <v>3.0</v>
      </c>
      <c r="Q536" s="464">
        <v>4.0</v>
      </c>
      <c r="R536" s="465"/>
      <c r="S536" s="466">
        <f>IF(ISTEXT($V536), "TBD", RANK(V536,$V530:$V536))</f>
        <v>4</v>
      </c>
      <c r="T536" s="467">
        <v>1.0</v>
      </c>
      <c r="U536" s="468" t="b">
        <f>Rankings!$S536=Rankings!$T536</f>
        <v>0</v>
      </c>
      <c r="V536" s="461">
        <f>IF(ISTEXT(Rankings!F536), "TBD", (RANK($F536,$F530:$F536) + IF(ISTEXT($H536), 0, (RANK($H536,$H530:$H536)/10)) + (RANK($G536,$G530:$G536)/100)))</f>
        <v>3.46</v>
      </c>
      <c r="W536" s="208"/>
    </row>
    <row r="537" ht="15.0" customHeight="1">
      <c r="A537" s="103">
        <v>46090.0</v>
      </c>
      <c r="B537" s="453"/>
      <c r="C537" s="454" t="str">
        <f t="array" ref="C537">INDEX(Rankings!$E537:$E543, MATCH(1, (Rankings!$D537:$D543=$A537)*(Rankings!$U537:$U543=TRUE()), 0))</f>
        <v>Giacomo</v>
      </c>
      <c r="D537" s="398">
        <f>A537</f>
        <v>46090</v>
      </c>
      <c r="E537" s="455" t="str">
        <f>$K$1</f>
        <v>Logan</v>
      </c>
      <c r="F537" s="400">
        <f>IFERROR(AVERAGE(Rankings!$K537:$R537), "TBD")</f>
        <v>4.428571429</v>
      </c>
      <c r="G537" s="400">
        <f>IFERROR(_xlfn.STDEV.P(Rankings!$K537:$R537), "TBD")</f>
        <v>2.258769757</v>
      </c>
      <c r="H537" s="400">
        <f>IFERROR(AVERAGE(Rankings!$L537:$R537), "TBD")</f>
        <v>4.833333333</v>
      </c>
      <c r="I537" s="421" t="s">
        <v>1379</v>
      </c>
      <c r="J537" s="421" t="s">
        <v>1380</v>
      </c>
      <c r="K537" s="422">
        <v>2.0</v>
      </c>
      <c r="L537" s="423">
        <v>6.0</v>
      </c>
      <c r="M537" s="423">
        <v>1.0</v>
      </c>
      <c r="N537" s="423">
        <v>5.0</v>
      </c>
      <c r="O537" s="423">
        <v>7.0</v>
      </c>
      <c r="P537" s="423">
        <v>3.0</v>
      </c>
      <c r="Q537" s="456">
        <v>7.0</v>
      </c>
      <c r="R537" s="457"/>
      <c r="S537" s="458">
        <f>IF(ISTEXT($V537), "TBD", RANK(V537,$V537:$V543))</f>
        <v>5</v>
      </c>
      <c r="T537" s="459">
        <v>1.0</v>
      </c>
      <c r="U537" s="460" t="b">
        <f>Rankings!$S537=Rankings!$T537</f>
        <v>0</v>
      </c>
      <c r="V537" s="461">
        <f>IF(ISTEXT(Rankings!F537), "TBD", (RANK($F537,$F537:$F543) + IF(ISTEXT($H537), 0, (RANK($H537,$H537:$H543)/10)) + (RANK($G537,$G537:$G543)/100)))</f>
        <v>3.31</v>
      </c>
      <c r="W537" s="462"/>
    </row>
    <row r="538" ht="15.0" customHeight="1">
      <c r="A538" s="134"/>
      <c r="B538" s="134"/>
      <c r="C538" s="134"/>
      <c r="D538" s="402">
        <f>D537</f>
        <v>46090</v>
      </c>
      <c r="E538" s="463" t="str">
        <f>$L$1</f>
        <v>Parker</v>
      </c>
      <c r="F538" s="404">
        <f>IFERROR(AVERAGE(Rankings!$K538:$R538), "TBD")</f>
        <v>4.285714286</v>
      </c>
      <c r="G538" s="404">
        <f>IFERROR(_xlfn.STDEV.P(Rankings!$K538:$R538), "TBD")</f>
        <v>1.577908717</v>
      </c>
      <c r="H538" s="404">
        <f>IFERROR(AVERAGE(Rankings!$K538, Rankings!$M538:$R538), "TBD")</f>
        <v>4.833333333</v>
      </c>
      <c r="I538" s="429" t="s">
        <v>1381</v>
      </c>
      <c r="J538" s="429" t="s">
        <v>264</v>
      </c>
      <c r="K538" s="430">
        <v>4.0</v>
      </c>
      <c r="L538" s="431">
        <v>1.0</v>
      </c>
      <c r="M538" s="431">
        <v>5.0</v>
      </c>
      <c r="N538" s="431">
        <v>6.0</v>
      </c>
      <c r="O538" s="431">
        <v>4.0</v>
      </c>
      <c r="P538" s="431">
        <v>4.0</v>
      </c>
      <c r="Q538" s="464">
        <v>6.0</v>
      </c>
      <c r="R538" s="465"/>
      <c r="S538" s="466">
        <f>IF(ISTEXT($V538), "TBD", RANK(V538,$V537:$V543))</f>
        <v>4</v>
      </c>
      <c r="T538" s="467">
        <v>1.0</v>
      </c>
      <c r="U538" s="468" t="b">
        <f>Rankings!$S538=Rankings!$T538</f>
        <v>0</v>
      </c>
      <c r="V538" s="461">
        <f>IF(ISTEXT(Rankings!F538), "TBD", (RANK($F538,$F537:$F543) + IF(ISTEXT($H538), 0, (RANK($H538,$H537:$H543)/10)) + (RANK($G538,$G537:$G543)/100)))</f>
        <v>4.33</v>
      </c>
      <c r="W538" s="153"/>
    </row>
    <row r="539" ht="15.0" customHeight="1">
      <c r="A539" s="134"/>
      <c r="B539" s="134"/>
      <c r="C539" s="134"/>
      <c r="D539" s="406">
        <f>D537</f>
        <v>46090</v>
      </c>
      <c r="E539" s="469" t="str">
        <f>$M$1</f>
        <v>Giacomo</v>
      </c>
      <c r="F539" s="408">
        <f>IFERROR(AVERAGE(Rankings!$K539:$R539), "TBD")</f>
        <v>2.285714286</v>
      </c>
      <c r="G539" s="408">
        <f>IFERROR(_xlfn.STDEV.P(Rankings!$K539:$R539), "TBD")</f>
        <v>1.160576915</v>
      </c>
      <c r="H539" s="408">
        <f>IFERROR(AVERAGE(Rankings!$K539:$L539, Rankings!$N539:$R539), "TBD")</f>
        <v>2.333333333</v>
      </c>
      <c r="I539" s="437" t="s">
        <v>463</v>
      </c>
      <c r="J539" s="437" t="s">
        <v>1382</v>
      </c>
      <c r="K539" s="430">
        <v>1.0</v>
      </c>
      <c r="L539" s="431">
        <v>2.0</v>
      </c>
      <c r="M539" s="431">
        <v>2.0</v>
      </c>
      <c r="N539" s="431">
        <v>2.0</v>
      </c>
      <c r="O539" s="431">
        <v>2.0</v>
      </c>
      <c r="P539" s="431">
        <v>2.0</v>
      </c>
      <c r="Q539" s="464">
        <v>5.0</v>
      </c>
      <c r="R539" s="465"/>
      <c r="S539" s="466">
        <f>IF(ISTEXT($V539), "TBD", RANK(V539,$V537:$V543))</f>
        <v>1</v>
      </c>
      <c r="T539" s="467">
        <v>1.0</v>
      </c>
      <c r="U539" s="468" t="b">
        <f>Rankings!$S539=Rankings!$T539</f>
        <v>1</v>
      </c>
      <c r="V539" s="461">
        <f>IF(ISTEXT(Rankings!F539), "TBD", (RANK($F539,$F537:$F543) + IF(ISTEXT($H539), 0, (RANK($H539,$H537:$H543)/10)) + (RANK($G539,$G537:$G543)/100)))</f>
        <v>7.77</v>
      </c>
      <c r="W539" s="153"/>
    </row>
    <row r="540" ht="15.0" customHeight="1">
      <c r="A540" s="134"/>
      <c r="B540" s="134"/>
      <c r="C540" s="134"/>
      <c r="D540" s="409">
        <f>D537</f>
        <v>46090</v>
      </c>
      <c r="E540" s="470" t="str">
        <f>$N$1</f>
        <v>Rosey</v>
      </c>
      <c r="F540" s="411">
        <f>IFERROR(AVERAGE(Rankings!$K540:$R540), "TBD")</f>
        <v>5.714285714</v>
      </c>
      <c r="G540" s="411">
        <f>IFERROR(_xlfn.STDEV.P(Rankings!$K540:$R540), "TBD")</f>
        <v>1.27775313</v>
      </c>
      <c r="H540" s="411">
        <f>IFERROR(AVERAGE(Rankings!$K540:$M540, Rankings!$O540:$R540), "TBD")</f>
        <v>6</v>
      </c>
      <c r="I540" s="438" t="s">
        <v>1383</v>
      </c>
      <c r="J540" s="438" t="s">
        <v>1180</v>
      </c>
      <c r="K540" s="430">
        <v>5.0</v>
      </c>
      <c r="L540" s="431">
        <v>7.0</v>
      </c>
      <c r="M540" s="431">
        <v>7.0</v>
      </c>
      <c r="N540" s="431">
        <v>4.0</v>
      </c>
      <c r="O540" s="431">
        <v>6.0</v>
      </c>
      <c r="P540" s="431">
        <v>7.0</v>
      </c>
      <c r="Q540" s="464">
        <v>4.0</v>
      </c>
      <c r="R540" s="465"/>
      <c r="S540" s="466">
        <f>IF(ISTEXT($V540), "TBD", RANK(V540,$V537:$V543))</f>
        <v>7</v>
      </c>
      <c r="T540" s="467">
        <v>1.0</v>
      </c>
      <c r="U540" s="468" t="b">
        <f>Rankings!$S540=Rankings!$T540</f>
        <v>0</v>
      </c>
      <c r="V540" s="461">
        <f>IF(ISTEXT(Rankings!F540), "TBD", (RANK($F540,$F537:$F543) + IF(ISTEXT($H540), 0, (RANK($H540,$H537:$H543)/10)) + (RANK($G540,$G537:$G543)/100)))</f>
        <v>1.16</v>
      </c>
      <c r="W540" s="153"/>
    </row>
    <row r="541" ht="15.75" customHeight="1">
      <c r="A541" s="134"/>
      <c r="B541" s="134"/>
      <c r="C541" s="134"/>
      <c r="D541" s="412">
        <f t="shared" ref="D541:D543" si="79">D537</f>
        <v>46090</v>
      </c>
      <c r="E541" s="471" t="str">
        <f>$O$1</f>
        <v>TTAC</v>
      </c>
      <c r="F541" s="414">
        <f>IFERROR(AVERAGE(Rankings!$K541:$R541), "TBD")</f>
        <v>5.285714286</v>
      </c>
      <c r="G541" s="414">
        <f>IFERROR(_xlfn.STDEV.P(Rankings!$K541:$R541), "TBD")</f>
        <v>1.385051388</v>
      </c>
      <c r="H541" s="414">
        <f>IFERROR(AVERAGE(Rankings!$K541:$N541, Rankings!$P541:$R541), "TBD")</f>
        <v>5.333333333</v>
      </c>
      <c r="I541" s="439" t="s">
        <v>1384</v>
      </c>
      <c r="J541" s="439" t="s">
        <v>1385</v>
      </c>
      <c r="K541" s="430">
        <v>7.0</v>
      </c>
      <c r="L541" s="431">
        <v>5.0</v>
      </c>
      <c r="M541" s="431">
        <v>4.0</v>
      </c>
      <c r="N541" s="431">
        <v>7.0</v>
      </c>
      <c r="O541" s="431">
        <v>5.0</v>
      </c>
      <c r="P541" s="431">
        <v>6.0</v>
      </c>
      <c r="Q541" s="464">
        <v>3.0</v>
      </c>
      <c r="R541" s="465"/>
      <c r="S541" s="466">
        <f>IF(ISTEXT($V541), "TBD", RANK(V541,$V537:$V543))</f>
        <v>6</v>
      </c>
      <c r="T541" s="467">
        <v>1.0</v>
      </c>
      <c r="U541" s="468" t="b">
        <f>Rankings!$S541=Rankings!$T541</f>
        <v>0</v>
      </c>
      <c r="V541" s="461">
        <f>IF(ISTEXT(Rankings!F541), "TBD", (RANK($F541,$F537:$F543) + IF(ISTEXT($H541), 0, (RANK($H541,$H537:$H543)/10)) + (RANK($G541,$G537:$G543)/100)))</f>
        <v>2.25</v>
      </c>
      <c r="W541" s="153"/>
    </row>
    <row r="542" ht="15.75" customHeight="1">
      <c r="A542" s="134"/>
      <c r="B542" s="134"/>
      <c r="C542" s="134"/>
      <c r="D542" s="415">
        <f t="shared" si="79"/>
        <v>46090</v>
      </c>
      <c r="E542" s="472" t="str">
        <f>$P$1</f>
        <v>Weston</v>
      </c>
      <c r="F542" s="418">
        <f>IFERROR(AVERAGE(Rankings!$K542:$R542), "TBD")</f>
        <v>3</v>
      </c>
      <c r="G542" s="418">
        <f>IFERROR(_xlfn.STDEV.P(Rankings!$K542:$R542), "TBD")</f>
        <v>1.414213562</v>
      </c>
      <c r="H542" s="418">
        <f>IFERROR(AVERAGE(Rankings!$K542:$O542, Rankings!$Q542:$R542), "TBD")</f>
        <v>3.333333333</v>
      </c>
      <c r="I542" s="440" t="s">
        <v>1386</v>
      </c>
      <c r="J542" s="440" t="s">
        <v>1387</v>
      </c>
      <c r="K542" s="430">
        <v>3.0</v>
      </c>
      <c r="L542" s="431">
        <v>3.0</v>
      </c>
      <c r="M542" s="431">
        <v>6.0</v>
      </c>
      <c r="N542" s="431">
        <v>3.0</v>
      </c>
      <c r="O542" s="431">
        <v>3.0</v>
      </c>
      <c r="P542" s="431">
        <v>1.0</v>
      </c>
      <c r="Q542" s="464">
        <v>2.0</v>
      </c>
      <c r="R542" s="465"/>
      <c r="S542" s="466">
        <f>IF(ISTEXT($V542), "TBD", RANK(V542,$V537:$V543))</f>
        <v>2</v>
      </c>
      <c r="T542" s="467">
        <v>1.0</v>
      </c>
      <c r="U542" s="468" t="b">
        <f>Rankings!$S542=Rankings!$T542</f>
        <v>0</v>
      </c>
      <c r="V542" s="461">
        <f>IF(ISTEXT(Rankings!F542), "TBD", (RANK($F542,$F537:$F543) + IF(ISTEXT($H542), 0, (RANK($H542,$H537:$H543)/10)) + (RANK($G542,$G537:$G543)/100)))</f>
        <v>5.54</v>
      </c>
      <c r="W542" s="153"/>
    </row>
    <row r="543" ht="15.75" customHeight="1">
      <c r="A543" s="189"/>
      <c r="B543" s="189"/>
      <c r="C543" s="189"/>
      <c r="D543" s="473">
        <f t="shared" si="79"/>
        <v>46090</v>
      </c>
      <c r="E543" s="131" t="str">
        <f>$Q$1</f>
        <v>Flocco</v>
      </c>
      <c r="F543" s="474">
        <f>IFERROR(AVERAGE(Rankings!$K543:$R543), "TBD")</f>
        <v>3</v>
      </c>
      <c r="G543" s="474">
        <f>IFERROR(_xlfn.STDEV.P(Rankings!$K543:$R543), "TBD")</f>
        <v>1.927248223</v>
      </c>
      <c r="H543" s="474">
        <f>IFERROR(AVERAGE(Rankings!$K543:$P543, Rankings!$R543), "TBD")</f>
        <v>3.333333333</v>
      </c>
      <c r="I543" s="475" t="s">
        <v>1388</v>
      </c>
      <c r="J543" s="475" t="s">
        <v>1389</v>
      </c>
      <c r="K543" s="430">
        <v>6.0</v>
      </c>
      <c r="L543" s="431">
        <v>4.0</v>
      </c>
      <c r="M543" s="431">
        <v>3.0</v>
      </c>
      <c r="N543" s="431">
        <v>1.0</v>
      </c>
      <c r="O543" s="431">
        <v>1.0</v>
      </c>
      <c r="P543" s="431">
        <v>5.0</v>
      </c>
      <c r="Q543" s="464">
        <v>1.0</v>
      </c>
      <c r="R543" s="465"/>
      <c r="S543" s="466">
        <f>IF(ISTEXT($V543), "TBD", RANK(V543,$V537:$V543))</f>
        <v>3</v>
      </c>
      <c r="T543" s="467">
        <v>1.0</v>
      </c>
      <c r="U543" s="468" t="b">
        <f>Rankings!$S543=Rankings!$T543</f>
        <v>0</v>
      </c>
      <c r="V543" s="461">
        <f>IF(ISTEXT(Rankings!F543), "TBD", (RANK($F543,$F537:$F543) + IF(ISTEXT($H543), 0, (RANK($H543,$H537:$H543)/10)) + (RANK($G543,$G537:$G543)/100)))</f>
        <v>5.52</v>
      </c>
      <c r="W543" s="208"/>
    </row>
    <row r="544" ht="15.75" customHeight="1">
      <c r="A544" s="103">
        <v>46092.0</v>
      </c>
      <c r="B544" s="453"/>
      <c r="C544" s="454" t="str">
        <f t="array" ref="C544">INDEX(Rankings!$E544:$E550, MATCH(1, (Rankings!$D544:$D550=$A544)*(Rankings!$U544:$U550=TRUE()), 0))</f>
        <v>Rosey</v>
      </c>
      <c r="D544" s="398">
        <f>A544</f>
        <v>46092</v>
      </c>
      <c r="E544" s="455" t="str">
        <f>$K$1</f>
        <v>Logan</v>
      </c>
      <c r="F544" s="400">
        <f>IFERROR(AVERAGE(Rankings!$K544:$R544), "TBD")</f>
        <v>4.857142857</v>
      </c>
      <c r="G544" s="400">
        <f>IFERROR(_xlfn.STDEV.P(Rankings!$K544:$R544), "TBD")</f>
        <v>1.245399698</v>
      </c>
      <c r="H544" s="400">
        <f>IFERROR(AVERAGE(Rankings!$L544:$R544), "TBD")</f>
        <v>5.166666667</v>
      </c>
      <c r="I544" s="421" t="s">
        <v>1390</v>
      </c>
      <c r="J544" s="421" t="s">
        <v>1391</v>
      </c>
      <c r="K544" s="422">
        <v>3.0</v>
      </c>
      <c r="L544" s="423">
        <v>6.0</v>
      </c>
      <c r="M544" s="423">
        <v>6.0</v>
      </c>
      <c r="N544" s="423">
        <v>3.0</v>
      </c>
      <c r="O544" s="423">
        <v>5.0</v>
      </c>
      <c r="P544" s="423">
        <v>6.0</v>
      </c>
      <c r="Q544" s="456">
        <v>5.0</v>
      </c>
      <c r="R544" s="457"/>
      <c r="S544" s="458">
        <f>IF(ISTEXT($V544), "TBD", RANK(V544,$V544:$V550))</f>
        <v>5</v>
      </c>
      <c r="T544" s="459">
        <v>1.0</v>
      </c>
      <c r="U544" s="460" t="b">
        <f>Rankings!$S544=Rankings!$T544</f>
        <v>0</v>
      </c>
      <c r="V544" s="461">
        <f>IF(ISTEXT(Rankings!F544), "TBD", (RANK($F544,$F544:$F550) + IF(ISTEXT($H544), 0, (RANK($H544,$H544:$H550)/10)) + (RANK($G544,$G544:$G550)/100)))</f>
        <v>3.37</v>
      </c>
      <c r="W544" s="462"/>
    </row>
    <row r="545" ht="15.75" customHeight="1">
      <c r="A545" s="134"/>
      <c r="B545" s="134"/>
      <c r="C545" s="134"/>
      <c r="D545" s="402">
        <f>D544</f>
        <v>46092</v>
      </c>
      <c r="E545" s="463" t="str">
        <f>$L$1</f>
        <v>Parker</v>
      </c>
      <c r="F545" s="404">
        <f>IFERROR(AVERAGE(Rankings!$K545:$R545), "TBD")</f>
        <v>4.285714286</v>
      </c>
      <c r="G545" s="404">
        <f>IFERROR(_xlfn.STDEV.P(Rankings!$K545:$R545), "TBD")</f>
        <v>1.577908717</v>
      </c>
      <c r="H545" s="404">
        <f>IFERROR(AVERAGE(Rankings!$K545, Rankings!$M545:$R545), "TBD")</f>
        <v>4.666666667</v>
      </c>
      <c r="I545" s="429" t="s">
        <v>1392</v>
      </c>
      <c r="J545" s="429" t="s">
        <v>1393</v>
      </c>
      <c r="K545" s="430">
        <v>2.0</v>
      </c>
      <c r="L545" s="431">
        <v>2.0</v>
      </c>
      <c r="M545" s="431">
        <v>5.0</v>
      </c>
      <c r="N545" s="431">
        <v>5.0</v>
      </c>
      <c r="O545" s="431">
        <v>6.0</v>
      </c>
      <c r="P545" s="431">
        <v>4.0</v>
      </c>
      <c r="Q545" s="464">
        <v>6.0</v>
      </c>
      <c r="R545" s="465"/>
      <c r="S545" s="466">
        <f>IF(ISTEXT($V545), "TBD", RANK(V545,$V544:$V550))</f>
        <v>4</v>
      </c>
      <c r="T545" s="467">
        <v>1.0</v>
      </c>
      <c r="U545" s="468" t="b">
        <f>Rankings!$S545=Rankings!$T545</f>
        <v>0</v>
      </c>
      <c r="V545" s="461">
        <f>IF(ISTEXT(Rankings!F545), "TBD", (RANK($F545,$F544:$F550) + IF(ISTEXT($H545), 0, (RANK($H545,$H544:$H550)/10)) + (RANK($G545,$G544:$G550)/100)))</f>
        <v>4.45</v>
      </c>
      <c r="W545" s="153"/>
    </row>
    <row r="546" ht="15.75" customHeight="1">
      <c r="A546" s="134"/>
      <c r="B546" s="134"/>
      <c r="C546" s="134"/>
      <c r="D546" s="406">
        <f>D544</f>
        <v>46092</v>
      </c>
      <c r="E546" s="469" t="str">
        <f>$M$1</f>
        <v>Giacomo</v>
      </c>
      <c r="F546" s="408">
        <f>IFERROR(AVERAGE(Rankings!$K546:$R546), "TBD")</f>
        <v>3.285714286</v>
      </c>
      <c r="G546" s="408">
        <f>IFERROR(_xlfn.STDEV.P(Rankings!$K546:$R546), "TBD")</f>
        <v>1.665986256</v>
      </c>
      <c r="H546" s="408">
        <f>IFERROR(AVERAGE(Rankings!$K546:$L546, Rankings!$N546:$R546), "TBD")</f>
        <v>3.666666667</v>
      </c>
      <c r="I546" s="437" t="s">
        <v>1394</v>
      </c>
      <c r="J546" s="437" t="s">
        <v>1395</v>
      </c>
      <c r="K546" s="430">
        <v>1.0</v>
      </c>
      <c r="L546" s="431">
        <v>4.0</v>
      </c>
      <c r="M546" s="431">
        <v>1.0</v>
      </c>
      <c r="N546" s="431">
        <v>6.0</v>
      </c>
      <c r="O546" s="431">
        <v>4.0</v>
      </c>
      <c r="P546" s="431">
        <v>3.0</v>
      </c>
      <c r="Q546" s="464">
        <v>4.0</v>
      </c>
      <c r="R546" s="465"/>
      <c r="S546" s="466">
        <f>IF(ISTEXT($V546), "TBD", RANK(V546,$V544:$V550))</f>
        <v>3</v>
      </c>
      <c r="T546" s="467">
        <v>1.0</v>
      </c>
      <c r="U546" s="468" t="b">
        <f>Rankings!$S546=Rankings!$T546</f>
        <v>0</v>
      </c>
      <c r="V546" s="461">
        <f>IF(ISTEXT(Rankings!F546), "TBD", (RANK($F546,$F544:$F550) + IF(ISTEXT($H546), 0, (RANK($H546,$H544:$H550)/10)) + (RANK($G546,$G544:$G550)/100)))</f>
        <v>5.53</v>
      </c>
      <c r="W546" s="153"/>
    </row>
    <row r="547" ht="15.75" customHeight="1">
      <c r="A547" s="134"/>
      <c r="B547" s="134"/>
      <c r="C547" s="134"/>
      <c r="D547" s="409">
        <f>D544</f>
        <v>46092</v>
      </c>
      <c r="E547" s="470" t="str">
        <f>$N$1</f>
        <v>Rosey</v>
      </c>
      <c r="F547" s="411">
        <f>IFERROR(AVERAGE(Rankings!$K547:$R547), "TBD")</f>
        <v>2.285714286</v>
      </c>
      <c r="G547" s="411">
        <f>IFERROR(_xlfn.STDEV.P(Rankings!$K547:$R547), "TBD")</f>
        <v>1.665986256</v>
      </c>
      <c r="H547" s="411">
        <f>IFERROR(AVERAGE(Rankings!$K547:$M547, Rankings!$O547:$R547), "TBD")</f>
        <v>2.333333333</v>
      </c>
      <c r="I547" s="438" t="s">
        <v>489</v>
      </c>
      <c r="J547" s="438" t="s">
        <v>1396</v>
      </c>
      <c r="K547" s="430">
        <v>6.0</v>
      </c>
      <c r="L547" s="431">
        <v>1.0</v>
      </c>
      <c r="M547" s="431">
        <v>2.0</v>
      </c>
      <c r="N547" s="431">
        <v>2.0</v>
      </c>
      <c r="O547" s="431">
        <v>1.0</v>
      </c>
      <c r="P547" s="431">
        <v>1.0</v>
      </c>
      <c r="Q547" s="464">
        <v>3.0</v>
      </c>
      <c r="R547" s="465"/>
      <c r="S547" s="466">
        <f>IF(ISTEXT($V547), "TBD", RANK(V547,$V544:$V550))</f>
        <v>1</v>
      </c>
      <c r="T547" s="467">
        <v>1.0</v>
      </c>
      <c r="U547" s="468" t="b">
        <f>Rankings!$S547=Rankings!$T547</f>
        <v>1</v>
      </c>
      <c r="V547" s="461">
        <f>IF(ISTEXT(Rankings!F547), "TBD", (RANK($F547,$F544:$F550) + IF(ISTEXT($H547), 0, (RANK($H547,$H544:$H550)/10)) + (RANK($G547,$G544:$G550)/100)))</f>
        <v>7.74</v>
      </c>
      <c r="W547" s="153"/>
    </row>
    <row r="548" ht="15.75" customHeight="1">
      <c r="A548" s="134"/>
      <c r="B548" s="134"/>
      <c r="C548" s="134"/>
      <c r="D548" s="412">
        <f t="shared" ref="D548:D550" si="80">D544</f>
        <v>46092</v>
      </c>
      <c r="E548" s="471" t="str">
        <f>$O$1</f>
        <v>TTAC</v>
      </c>
      <c r="F548" s="414">
        <f>IFERROR(AVERAGE(Rankings!$K548:$R548), "TBD")</f>
        <v>5.142857143</v>
      </c>
      <c r="G548" s="414">
        <f>IFERROR(_xlfn.STDEV.P(Rankings!$K548:$R548), "TBD")</f>
        <v>2.231499907</v>
      </c>
      <c r="H548" s="414">
        <f>IFERROR(AVERAGE(Rankings!$K548:$N548, Rankings!$P548:$R548), "TBD")</f>
        <v>5.666666667</v>
      </c>
      <c r="I548" s="439" t="s">
        <v>1397</v>
      </c>
      <c r="J548" s="439" t="s">
        <v>1398</v>
      </c>
      <c r="K548" s="430">
        <v>7.0</v>
      </c>
      <c r="L548" s="431">
        <v>7.0</v>
      </c>
      <c r="M548" s="431">
        <v>7.0</v>
      </c>
      <c r="N548" s="431">
        <v>4.0</v>
      </c>
      <c r="O548" s="431">
        <v>2.0</v>
      </c>
      <c r="P548" s="431">
        <v>7.0</v>
      </c>
      <c r="Q548" s="464">
        <v>2.0</v>
      </c>
      <c r="R548" s="465"/>
      <c r="S548" s="466">
        <f>IF(ISTEXT($V548), "TBD", RANK(V548,$V544:$V550))</f>
        <v>7</v>
      </c>
      <c r="T548" s="467">
        <v>1.0</v>
      </c>
      <c r="U548" s="468" t="b">
        <f>Rankings!$S548=Rankings!$T548</f>
        <v>0</v>
      </c>
      <c r="V548" s="461">
        <f>IF(ISTEXT(Rankings!F548), "TBD", (RANK($F548,$F544:$F550) + IF(ISTEXT($H548), 0, (RANK($H548,$H544:$H550)/10)) + (RANK($G548,$G544:$G550)/100)))</f>
        <v>1.11</v>
      </c>
      <c r="W548" s="153"/>
    </row>
    <row r="549" ht="15.75" customHeight="1">
      <c r="A549" s="134"/>
      <c r="B549" s="134"/>
      <c r="C549" s="134"/>
      <c r="D549" s="415">
        <f t="shared" si="80"/>
        <v>46092</v>
      </c>
      <c r="E549" s="472" t="str">
        <f>$P$1</f>
        <v>Weston</v>
      </c>
      <c r="F549" s="418">
        <f>IFERROR(AVERAGE(Rankings!$K549:$R549), "TBD")</f>
        <v>5.142857143</v>
      </c>
      <c r="G549" s="418">
        <f>IFERROR(_xlfn.STDEV.P(Rankings!$K549:$R549), "TBD")</f>
        <v>1.884415137</v>
      </c>
      <c r="H549" s="418">
        <f>IFERROR(AVERAGE(Rankings!$K549:$O549, Rankings!$Q549:$R549), "TBD")</f>
        <v>5.666666667</v>
      </c>
      <c r="I549" s="440" t="s">
        <v>1399</v>
      </c>
      <c r="J549" s="440" t="s">
        <v>1400</v>
      </c>
      <c r="K549" s="430">
        <v>5.0</v>
      </c>
      <c r="L549" s="431">
        <v>5.0</v>
      </c>
      <c r="M549" s="431">
        <v>3.0</v>
      </c>
      <c r="N549" s="431">
        <v>7.0</v>
      </c>
      <c r="O549" s="431">
        <v>7.0</v>
      </c>
      <c r="P549" s="431">
        <v>2.0</v>
      </c>
      <c r="Q549" s="464">
        <v>7.0</v>
      </c>
      <c r="R549" s="465"/>
      <c r="S549" s="466">
        <f>IF(ISTEXT($V549), "TBD", RANK(V549,$V544:$V550))</f>
        <v>6</v>
      </c>
      <c r="T549" s="467">
        <v>1.0</v>
      </c>
      <c r="U549" s="468" t="b">
        <f>Rankings!$S549=Rankings!$T549</f>
        <v>0</v>
      </c>
      <c r="V549" s="461">
        <f>IF(ISTEXT(Rankings!F549), "TBD", (RANK($F549,$F544:$F550) + IF(ISTEXT($H549), 0, (RANK($H549,$H544:$H550)/10)) + (RANK($G549,$G544:$G550)/100)))</f>
        <v>1.12</v>
      </c>
      <c r="W549" s="153"/>
    </row>
    <row r="550" ht="15.75" customHeight="1">
      <c r="A550" s="189"/>
      <c r="B550" s="189"/>
      <c r="C550" s="189"/>
      <c r="D550" s="473">
        <f t="shared" si="80"/>
        <v>46092</v>
      </c>
      <c r="E550" s="131" t="str">
        <f>$Q$1</f>
        <v>Flocco</v>
      </c>
      <c r="F550" s="474">
        <f>IFERROR(AVERAGE(Rankings!$K550:$R550), "TBD")</f>
        <v>3</v>
      </c>
      <c r="G550" s="474">
        <f>IFERROR(_xlfn.STDEV.P(Rankings!$K550:$R550), "TBD")</f>
        <v>1.414213562</v>
      </c>
      <c r="H550" s="474">
        <f>IFERROR(AVERAGE(Rankings!$K550:$P550, Rankings!$R550), "TBD")</f>
        <v>3.333333333</v>
      </c>
      <c r="I550" s="475" t="s">
        <v>1401</v>
      </c>
      <c r="J550" s="475" t="s">
        <v>1402</v>
      </c>
      <c r="K550" s="430">
        <v>4.0</v>
      </c>
      <c r="L550" s="431">
        <v>3.0</v>
      </c>
      <c r="M550" s="431">
        <v>4.0</v>
      </c>
      <c r="N550" s="431">
        <v>1.0</v>
      </c>
      <c r="O550" s="431">
        <v>3.0</v>
      </c>
      <c r="P550" s="431">
        <v>5.0</v>
      </c>
      <c r="Q550" s="464">
        <v>1.0</v>
      </c>
      <c r="R550" s="465"/>
      <c r="S550" s="466">
        <f>IF(ISTEXT($V550), "TBD", RANK(V550,$V544:$V550))</f>
        <v>2</v>
      </c>
      <c r="T550" s="467">
        <v>1.0</v>
      </c>
      <c r="U550" s="468" t="b">
        <f>Rankings!$S550=Rankings!$T550</f>
        <v>0</v>
      </c>
      <c r="V550" s="461">
        <f>IF(ISTEXT(Rankings!F550), "TBD", (RANK($F550,$F544:$F550) + IF(ISTEXT($H550), 0, (RANK($H550,$H544:$H550)/10)) + (RANK($G550,$G544:$G550)/100)))</f>
        <v>6.66</v>
      </c>
      <c r="W550" s="208"/>
    </row>
    <row r="551" ht="15.75" customHeight="1">
      <c r="A551" s="103">
        <v>46094.0</v>
      </c>
      <c r="B551" s="453"/>
      <c r="C551" s="454" t="str">
        <f t="array" ref="C551">INDEX(Rankings!$E551:$E557, MATCH(1, (Rankings!$D551:$D557=$A551)*(Rankings!$U551:$U557=TRUE()), 0))</f>
        <v>Flocco</v>
      </c>
      <c r="D551" s="398">
        <f>A551</f>
        <v>46094</v>
      </c>
      <c r="E551" s="455" t="str">
        <f>$K$1</f>
        <v>Logan</v>
      </c>
      <c r="F551" s="400">
        <f>IFERROR(AVERAGE(Rankings!$K551:$R551), "TBD")</f>
        <v>3.571428571</v>
      </c>
      <c r="G551" s="400">
        <f>IFERROR(_xlfn.STDEV.P(Rankings!$K551:$R551), "TBD")</f>
        <v>1.916629695</v>
      </c>
      <c r="H551" s="400">
        <f>IFERROR(AVERAGE(Rankings!$L551:$R551), "TBD")</f>
        <v>4</v>
      </c>
      <c r="I551" s="421" t="s">
        <v>1403</v>
      </c>
      <c r="J551" s="421" t="s">
        <v>1404</v>
      </c>
      <c r="K551" s="422">
        <v>1.0</v>
      </c>
      <c r="L551" s="423">
        <v>5.0</v>
      </c>
      <c r="M551" s="423">
        <v>6.0</v>
      </c>
      <c r="N551" s="423">
        <v>6.0</v>
      </c>
      <c r="O551" s="423">
        <v>2.0</v>
      </c>
      <c r="P551" s="423">
        <v>2.0</v>
      </c>
      <c r="Q551" s="456">
        <v>3.0</v>
      </c>
      <c r="R551" s="457"/>
      <c r="S551" s="458">
        <f>IF(ISTEXT($V551), "TBD", RANK(V551,$V551:$V557))</f>
        <v>3</v>
      </c>
      <c r="T551" s="459">
        <v>1.0</v>
      </c>
      <c r="U551" s="460" t="b">
        <f>Rankings!$S551=Rankings!$T551</f>
        <v>0</v>
      </c>
      <c r="V551" s="461">
        <f>IF(ISTEXT(Rankings!F551), "TBD", (RANK($F551,$F551:$F557) + IF(ISTEXT($H551), 0, (RANK($H551,$H551:$H557)/10)) + (RANK($G551,$G551:$G557)/100)))</f>
        <v>5.54</v>
      </c>
      <c r="W551" s="259" t="s">
        <v>1405</v>
      </c>
    </row>
    <row r="552" ht="15.75" customHeight="1">
      <c r="A552" s="134"/>
      <c r="B552" s="134"/>
      <c r="C552" s="134"/>
      <c r="D552" s="402">
        <f>D551</f>
        <v>46094</v>
      </c>
      <c r="E552" s="463" t="str">
        <f>$L$1</f>
        <v>Parker</v>
      </c>
      <c r="F552" s="404">
        <f>IFERROR(AVERAGE(Rankings!$K552:$R552), "TBD")</f>
        <v>5</v>
      </c>
      <c r="G552" s="404">
        <f>IFERROR(_xlfn.STDEV.P(Rankings!$K552:$R552), "TBD")</f>
        <v>1.927248223</v>
      </c>
      <c r="H552" s="404">
        <f>IFERROR(AVERAGE(Rankings!$K552, Rankings!$M552:$R552), "TBD")</f>
        <v>5.666666667</v>
      </c>
      <c r="I552" s="429" t="s">
        <v>1406</v>
      </c>
      <c r="J552" s="429" t="s">
        <v>1407</v>
      </c>
      <c r="K552" s="430">
        <v>4.0</v>
      </c>
      <c r="L552" s="431">
        <v>1.0</v>
      </c>
      <c r="M552" s="431">
        <v>5.0</v>
      </c>
      <c r="N552" s="431">
        <v>5.0</v>
      </c>
      <c r="O552" s="431">
        <v>7.0</v>
      </c>
      <c r="P552" s="431">
        <v>6.0</v>
      </c>
      <c r="Q552" s="464">
        <v>7.0</v>
      </c>
      <c r="R552" s="465"/>
      <c r="S552" s="466">
        <f>IF(ISTEXT($V552), "TBD", RANK(V552,$V551:$V557))</f>
        <v>7</v>
      </c>
      <c r="T552" s="467">
        <v>1.0</v>
      </c>
      <c r="U552" s="468" t="b">
        <f>Rankings!$S552=Rankings!$T552</f>
        <v>0</v>
      </c>
      <c r="V552" s="461">
        <f>IF(ISTEXT(Rankings!F552), "TBD", (RANK($F552,$F551:$F557) + IF(ISTEXT($H552), 0, (RANK($H552,$H551:$H557)/10)) + (RANK($G552,$G551:$G557)/100)))</f>
        <v>1.13</v>
      </c>
      <c r="W552" s="153"/>
    </row>
    <row r="553" ht="15.75" customHeight="1">
      <c r="A553" s="134"/>
      <c r="B553" s="134"/>
      <c r="C553" s="134"/>
      <c r="D553" s="406">
        <f>D551</f>
        <v>46094</v>
      </c>
      <c r="E553" s="469" t="str">
        <f>$M$1</f>
        <v>Giacomo</v>
      </c>
      <c r="F553" s="408">
        <f>IFERROR(AVERAGE(Rankings!$K553:$R553), "TBD")</f>
        <v>3.428571429</v>
      </c>
      <c r="G553" s="408">
        <f>IFERROR(_xlfn.STDEV.P(Rankings!$K553:$R553), "TBD")</f>
        <v>1.590789818</v>
      </c>
      <c r="H553" s="408">
        <f>IFERROR(AVERAGE(Rankings!$K553:$L553, Rankings!$N553:$R553), "TBD")</f>
        <v>3.833333333</v>
      </c>
      <c r="I553" s="437" t="s">
        <v>1408</v>
      </c>
      <c r="J553" s="437" t="s">
        <v>1409</v>
      </c>
      <c r="K553" s="430">
        <v>5.0</v>
      </c>
      <c r="L553" s="431">
        <v>3.0</v>
      </c>
      <c r="M553" s="431">
        <v>1.0</v>
      </c>
      <c r="N553" s="431">
        <v>4.0</v>
      </c>
      <c r="O553" s="431">
        <v>6.0</v>
      </c>
      <c r="P553" s="431">
        <v>3.0</v>
      </c>
      <c r="Q553" s="464">
        <v>2.0</v>
      </c>
      <c r="R553" s="465"/>
      <c r="S553" s="466">
        <f>IF(ISTEXT($V553), "TBD", RANK(V553,$V551:$V557))</f>
        <v>2</v>
      </c>
      <c r="T553" s="467">
        <v>1.0</v>
      </c>
      <c r="U553" s="468" t="b">
        <f>Rankings!$S553=Rankings!$T553</f>
        <v>0</v>
      </c>
      <c r="V553" s="461">
        <f>IF(ISTEXT(Rankings!F553), "TBD", (RANK($F553,$F551:$F557) + IF(ISTEXT($H553), 0, (RANK($H553,$H551:$H557)/10)) + (RANK($G553,$G551:$G557)/100)))</f>
        <v>6.66</v>
      </c>
      <c r="W553" s="153"/>
    </row>
    <row r="554" ht="15.75" customHeight="1">
      <c r="A554" s="134"/>
      <c r="B554" s="134"/>
      <c r="C554" s="134"/>
      <c r="D554" s="409">
        <f>D551</f>
        <v>46094</v>
      </c>
      <c r="E554" s="470" t="str">
        <f>$N$1</f>
        <v>Rosey</v>
      </c>
      <c r="F554" s="411">
        <f>IFERROR(AVERAGE(Rankings!$K554:$R554), "TBD")</f>
        <v>4.571428571</v>
      </c>
      <c r="G554" s="411">
        <f>IFERROR(_xlfn.STDEV.P(Rankings!$K554:$R554), "TBD")</f>
        <v>1.678191446</v>
      </c>
      <c r="H554" s="411">
        <f>IFERROR(AVERAGE(Rankings!$K554:$M554, Rankings!$O554:$R554), "TBD")</f>
        <v>5</v>
      </c>
      <c r="I554" s="438" t="s">
        <v>1410</v>
      </c>
      <c r="J554" s="438" t="s">
        <v>1411</v>
      </c>
      <c r="K554" s="430">
        <v>6.0</v>
      </c>
      <c r="L554" s="431">
        <v>6.0</v>
      </c>
      <c r="M554" s="431">
        <v>4.0</v>
      </c>
      <c r="N554" s="431">
        <v>2.0</v>
      </c>
      <c r="O554" s="431">
        <v>3.0</v>
      </c>
      <c r="P554" s="431">
        <v>7.0</v>
      </c>
      <c r="Q554" s="464">
        <v>4.0</v>
      </c>
      <c r="R554" s="465"/>
      <c r="S554" s="466">
        <f>IF(ISTEXT($V554), "TBD", RANK(V554,$V551:$V557))</f>
        <v>5</v>
      </c>
      <c r="T554" s="467">
        <v>1.0</v>
      </c>
      <c r="U554" s="468" t="b">
        <f>Rankings!$S554=Rankings!$T554</f>
        <v>0</v>
      </c>
      <c r="V554" s="461">
        <f>IF(ISTEXT(Rankings!F554), "TBD", (RANK($F554,$F551:$F557) + IF(ISTEXT($H554), 0, (RANK($H554,$H551:$H557)/10)) + (RANK($G554,$G551:$G557)/100)))</f>
        <v>3.35</v>
      </c>
      <c r="W554" s="153"/>
    </row>
    <row r="555" ht="15.75" customHeight="1">
      <c r="A555" s="134"/>
      <c r="B555" s="134"/>
      <c r="C555" s="134"/>
      <c r="D555" s="412">
        <f t="shared" ref="D555:D557" si="81">D551</f>
        <v>46094</v>
      </c>
      <c r="E555" s="471" t="str">
        <f>$O$1</f>
        <v>TTAC</v>
      </c>
      <c r="F555" s="414">
        <f>IFERROR(AVERAGE(Rankings!$K555:$R555), "TBD")</f>
        <v>4.428571429</v>
      </c>
      <c r="G555" s="414">
        <f>IFERROR(_xlfn.STDEV.P(Rankings!$K555:$R555), "TBD")</f>
        <v>2.060315015</v>
      </c>
      <c r="H555" s="414">
        <f>IFERROR(AVERAGE(Rankings!$K555:$N555, Rankings!$P555:$R555), "TBD")</f>
        <v>5</v>
      </c>
      <c r="I555" s="439" t="s">
        <v>1412</v>
      </c>
      <c r="J555" s="439" t="s">
        <v>1413</v>
      </c>
      <c r="K555" s="430">
        <v>3.0</v>
      </c>
      <c r="L555" s="431">
        <v>7.0</v>
      </c>
      <c r="M555" s="431">
        <v>7.0</v>
      </c>
      <c r="N555" s="431">
        <v>3.0</v>
      </c>
      <c r="O555" s="431">
        <v>1.0</v>
      </c>
      <c r="P555" s="431">
        <v>5.0</v>
      </c>
      <c r="Q555" s="464">
        <v>5.0</v>
      </c>
      <c r="R555" s="465"/>
      <c r="S555" s="466">
        <f>IF(ISTEXT($V555), "TBD", RANK(V555,$V551:$V557))</f>
        <v>4</v>
      </c>
      <c r="T555" s="467">
        <v>1.0</v>
      </c>
      <c r="U555" s="468" t="b">
        <f>Rankings!$S555=Rankings!$T555</f>
        <v>0</v>
      </c>
      <c r="V555" s="461">
        <f>IF(ISTEXT(Rankings!F555), "TBD", (RANK($F555,$F551:$F557) + IF(ISTEXT($H555), 0, (RANK($H555,$H551:$H557)/10)) + (RANK($G555,$G551:$G557)/100)))</f>
        <v>4.31</v>
      </c>
      <c r="W555" s="153"/>
    </row>
    <row r="556" ht="15.75" customHeight="1">
      <c r="A556" s="134"/>
      <c r="B556" s="134"/>
      <c r="C556" s="134"/>
      <c r="D556" s="415">
        <f t="shared" si="81"/>
        <v>46094</v>
      </c>
      <c r="E556" s="472" t="str">
        <f>$P$1</f>
        <v>Weston</v>
      </c>
      <c r="F556" s="418">
        <f>IFERROR(AVERAGE(Rankings!$K556:$R556), "TBD")</f>
        <v>4.714285714</v>
      </c>
      <c r="G556" s="418">
        <f>IFERROR(_xlfn.STDEV.P(Rankings!$K556:$R556), "TBD")</f>
        <v>2.050385728</v>
      </c>
      <c r="H556" s="418">
        <f>IFERROR(AVERAGE(Rankings!$K556:$O556, Rankings!$Q556:$R556), "TBD")</f>
        <v>5.333333333</v>
      </c>
      <c r="I556" s="440" t="s">
        <v>1414</v>
      </c>
      <c r="J556" s="440" t="s">
        <v>1415</v>
      </c>
      <c r="K556" s="430">
        <v>7.0</v>
      </c>
      <c r="L556" s="431">
        <v>4.0</v>
      </c>
      <c r="M556" s="431">
        <v>3.0</v>
      </c>
      <c r="N556" s="431">
        <v>7.0</v>
      </c>
      <c r="O556" s="431">
        <v>5.0</v>
      </c>
      <c r="P556" s="431">
        <v>1.0</v>
      </c>
      <c r="Q556" s="464">
        <v>6.0</v>
      </c>
      <c r="R556" s="465"/>
      <c r="S556" s="466">
        <f>IF(ISTEXT($V556), "TBD", RANK(V556,$V551:$V557))</f>
        <v>6</v>
      </c>
      <c r="T556" s="467">
        <v>1.0</v>
      </c>
      <c r="U556" s="468" t="b">
        <f>Rankings!$S556=Rankings!$T556</f>
        <v>0</v>
      </c>
      <c r="V556" s="461">
        <f>IF(ISTEXT(Rankings!F556), "TBD", (RANK($F556,$F551:$F557) + IF(ISTEXT($H556), 0, (RANK($H556,$H551:$H557)/10)) + (RANK($G556,$G551:$G557)/100)))</f>
        <v>2.22</v>
      </c>
      <c r="W556" s="153"/>
    </row>
    <row r="557" ht="15.75" customHeight="1">
      <c r="A557" s="189"/>
      <c r="B557" s="189"/>
      <c r="C557" s="189"/>
      <c r="D557" s="473">
        <f t="shared" si="81"/>
        <v>46094</v>
      </c>
      <c r="E557" s="131" t="str">
        <f>$Q$1</f>
        <v>Flocco</v>
      </c>
      <c r="F557" s="474">
        <f>IFERROR(AVERAGE(Rankings!$K557:$R557), "TBD")</f>
        <v>2.285714286</v>
      </c>
      <c r="G557" s="474">
        <f>IFERROR(_xlfn.STDEV.P(Rankings!$K557:$R557), "TBD")</f>
        <v>1.160576915</v>
      </c>
      <c r="H557" s="474">
        <f>IFERROR(AVERAGE(Rankings!$K557:$P557, Rankings!$R557), "TBD")</f>
        <v>2.5</v>
      </c>
      <c r="I557" s="475" t="s">
        <v>485</v>
      </c>
      <c r="J557" s="475" t="s">
        <v>1416</v>
      </c>
      <c r="K557" s="430">
        <v>2.0</v>
      </c>
      <c r="L557" s="431">
        <v>2.0</v>
      </c>
      <c r="M557" s="431">
        <v>2.0</v>
      </c>
      <c r="N557" s="431">
        <v>1.0</v>
      </c>
      <c r="O557" s="431">
        <v>4.0</v>
      </c>
      <c r="P557" s="431">
        <v>4.0</v>
      </c>
      <c r="Q557" s="464">
        <v>1.0</v>
      </c>
      <c r="R557" s="465"/>
      <c r="S557" s="466">
        <f>IF(ISTEXT($V557), "TBD", RANK(V557,$V551:$V557))</f>
        <v>1</v>
      </c>
      <c r="T557" s="467">
        <v>1.0</v>
      </c>
      <c r="U557" s="468" t="b">
        <f>Rankings!$S557=Rankings!$T557</f>
        <v>1</v>
      </c>
      <c r="V557" s="461">
        <f>IF(ISTEXT(Rankings!F557), "TBD", (RANK($F557,$F551:$F557) + IF(ISTEXT($H557), 0, (RANK($H557,$H551:$H557)/10)) + (RANK($G557,$G551:$G557)/100)))</f>
        <v>7.77</v>
      </c>
      <c r="W557" s="208"/>
    </row>
    <row r="558" ht="15.75" customHeight="1">
      <c r="A558" s="103">
        <v>46097.0</v>
      </c>
      <c r="B558" s="453"/>
      <c r="C558" s="454" t="str">
        <f t="array" ref="C558">INDEX(Rankings!$E558:$E564, MATCH(1, (Rankings!$D558:$D564=$A558)*(Rankings!$U558:$U564=TRUE()), 0))</f>
        <v>Parker</v>
      </c>
      <c r="D558" s="398">
        <f>A558</f>
        <v>46097</v>
      </c>
      <c r="E558" s="455" t="str">
        <f>$K$1</f>
        <v>Logan</v>
      </c>
      <c r="F558" s="400">
        <f>IFERROR(AVERAGE(Rankings!$K558:$R558), "TBD")</f>
        <v>3.571428571</v>
      </c>
      <c r="G558" s="400">
        <f>IFERROR(_xlfn.STDEV.P(Rankings!$K558:$R558), "TBD")</f>
        <v>2.381904572</v>
      </c>
      <c r="H558" s="400">
        <f>IFERROR(AVERAGE(Rankings!$L558:$R558), "TBD")</f>
        <v>4</v>
      </c>
      <c r="I558" s="421" t="s">
        <v>1417</v>
      </c>
      <c r="J558" s="421" t="s">
        <v>1418</v>
      </c>
      <c r="K558" s="422">
        <v>1.0</v>
      </c>
      <c r="L558" s="423">
        <v>3.0</v>
      </c>
      <c r="M558" s="423">
        <v>1.0</v>
      </c>
      <c r="N558" s="423">
        <v>7.0</v>
      </c>
      <c r="O558" s="423">
        <v>7.0</v>
      </c>
      <c r="P558" s="423">
        <v>2.0</v>
      </c>
      <c r="Q558" s="456">
        <v>4.0</v>
      </c>
      <c r="R558" s="457"/>
      <c r="S558" s="458">
        <f>IF(ISTEXT($V558), "TBD", RANK(V558,$V558:$V564))</f>
        <v>2</v>
      </c>
      <c r="T558" s="459">
        <v>1.0</v>
      </c>
      <c r="U558" s="460" t="b">
        <f>Rankings!$S558=Rankings!$T558</f>
        <v>0</v>
      </c>
      <c r="V558" s="461">
        <f>IF(ISTEXT(Rankings!F558), "TBD", (RANK($F558,$F558:$F564) + IF(ISTEXT($H558), 0, (RANK($H558,$H558:$H564)/10)) + (RANK($G558,$G558:$G564)/100)))</f>
        <v>6.62</v>
      </c>
      <c r="W558" s="462"/>
    </row>
    <row r="559" ht="15.75" customHeight="1">
      <c r="A559" s="134"/>
      <c r="B559" s="134"/>
      <c r="C559" s="134"/>
      <c r="D559" s="402">
        <f>D558</f>
        <v>46097</v>
      </c>
      <c r="E559" s="463" t="str">
        <f>$L$1</f>
        <v>Parker</v>
      </c>
      <c r="F559" s="404">
        <f>IFERROR(AVERAGE(Rankings!$K559:$R559), "TBD")</f>
        <v>3.142857143</v>
      </c>
      <c r="G559" s="404">
        <f>IFERROR(_xlfn.STDEV.P(Rankings!$K559:$R559), "TBD")</f>
        <v>2.231499907</v>
      </c>
      <c r="H559" s="404">
        <f>IFERROR(AVERAGE(Rankings!$K559, Rankings!$M559:$R559), "TBD")</f>
        <v>3.333333333</v>
      </c>
      <c r="I559" s="429" t="s">
        <v>491</v>
      </c>
      <c r="J559" s="429" t="s">
        <v>1419</v>
      </c>
      <c r="K559" s="430">
        <v>3.0</v>
      </c>
      <c r="L559" s="431">
        <v>2.0</v>
      </c>
      <c r="M559" s="431">
        <v>7.0</v>
      </c>
      <c r="N559" s="431">
        <v>6.0</v>
      </c>
      <c r="O559" s="431">
        <v>2.0</v>
      </c>
      <c r="P559" s="431">
        <v>1.0</v>
      </c>
      <c r="Q559" s="464">
        <v>1.0</v>
      </c>
      <c r="R559" s="465"/>
      <c r="S559" s="466">
        <f>IF(ISTEXT($V559), "TBD", RANK(V559,$V558:$V564))</f>
        <v>1</v>
      </c>
      <c r="T559" s="467">
        <v>1.0</v>
      </c>
      <c r="U559" s="468" t="b">
        <f>Rankings!$S559=Rankings!$T559</f>
        <v>1</v>
      </c>
      <c r="V559" s="461">
        <f>IF(ISTEXT(Rankings!F559), "TBD", (RANK($F559,$F558:$F564) + IF(ISTEXT($H559), 0, (RANK($H559,$H558:$H564)/10)) + (RANK($G559,$G558:$G564)/100)))</f>
        <v>7.73</v>
      </c>
      <c r="W559" s="153"/>
    </row>
    <row r="560" ht="15.75" customHeight="1">
      <c r="A560" s="134"/>
      <c r="B560" s="134"/>
      <c r="C560" s="134"/>
      <c r="D560" s="406">
        <f>D558</f>
        <v>46097</v>
      </c>
      <c r="E560" s="469" t="str">
        <f>$M$1</f>
        <v>Giacomo</v>
      </c>
      <c r="F560" s="408">
        <f>IFERROR(AVERAGE(Rankings!$K560:$R560), "TBD")</f>
        <v>4.142857143</v>
      </c>
      <c r="G560" s="408">
        <f>IFERROR(_xlfn.STDEV.P(Rankings!$K560:$R560), "TBD")</f>
        <v>1.245399698</v>
      </c>
      <c r="H560" s="408">
        <f>IFERROR(AVERAGE(Rankings!$K560:$L560, Rankings!$N560:$R560), "TBD")</f>
        <v>4.5</v>
      </c>
      <c r="I560" s="437" t="s">
        <v>1420</v>
      </c>
      <c r="J560" s="437" t="s">
        <v>1421</v>
      </c>
      <c r="K560" s="430">
        <v>5.0</v>
      </c>
      <c r="L560" s="431">
        <v>4.0</v>
      </c>
      <c r="M560" s="431">
        <v>2.0</v>
      </c>
      <c r="N560" s="431">
        <v>3.0</v>
      </c>
      <c r="O560" s="431">
        <v>4.0</v>
      </c>
      <c r="P560" s="431">
        <v>6.0</v>
      </c>
      <c r="Q560" s="464">
        <v>5.0</v>
      </c>
      <c r="R560" s="465"/>
      <c r="S560" s="466">
        <f>IF(ISTEXT($V560), "TBD", RANK(V560,$V558:$V564))</f>
        <v>4</v>
      </c>
      <c r="T560" s="467">
        <v>1.0</v>
      </c>
      <c r="U560" s="468" t="b">
        <f>Rankings!$S560=Rankings!$T560</f>
        <v>0</v>
      </c>
      <c r="V560" s="461">
        <f>IF(ISTEXT(Rankings!F560), "TBD", (RANK($F560,$F558:$F564) + IF(ISTEXT($H560), 0, (RANK($H560,$H558:$H564)/10)) + (RANK($G560,$G558:$G564)/100)))</f>
        <v>3.37</v>
      </c>
      <c r="W560" s="153"/>
    </row>
    <row r="561" ht="15.75" customHeight="1">
      <c r="A561" s="134"/>
      <c r="B561" s="134"/>
      <c r="C561" s="134"/>
      <c r="D561" s="409">
        <f>D558</f>
        <v>46097</v>
      </c>
      <c r="E561" s="470" t="str">
        <f>$N$1</f>
        <v>Rosey</v>
      </c>
      <c r="F561" s="411">
        <f>IFERROR(AVERAGE(Rankings!$K561:$R561), "TBD")</f>
        <v>4.142857143</v>
      </c>
      <c r="G561" s="411">
        <f>IFERROR(_xlfn.STDEV.P(Rankings!$K561:$R561), "TBD")</f>
        <v>2.030381486</v>
      </c>
      <c r="H561" s="411">
        <f>IFERROR(AVERAGE(Rankings!$K561:$M561, Rankings!$O561:$R561), "TBD")</f>
        <v>4.5</v>
      </c>
      <c r="I561" s="438" t="s">
        <v>1422</v>
      </c>
      <c r="J561" s="438" t="s">
        <v>1423</v>
      </c>
      <c r="K561" s="430">
        <v>7.0</v>
      </c>
      <c r="L561" s="431">
        <v>1.0</v>
      </c>
      <c r="M561" s="431">
        <v>5.0</v>
      </c>
      <c r="N561" s="431">
        <v>2.0</v>
      </c>
      <c r="O561" s="431">
        <v>6.0</v>
      </c>
      <c r="P561" s="431">
        <v>5.0</v>
      </c>
      <c r="Q561" s="464">
        <v>3.0</v>
      </c>
      <c r="R561" s="465"/>
      <c r="S561" s="466">
        <f>IF(ISTEXT($V561), "TBD", RANK(V561,$V558:$V564))</f>
        <v>5</v>
      </c>
      <c r="T561" s="467">
        <v>1.0</v>
      </c>
      <c r="U561" s="468" t="b">
        <f>Rankings!$S561=Rankings!$T561</f>
        <v>0</v>
      </c>
      <c r="V561" s="461">
        <f>IF(ISTEXT(Rankings!F561), "TBD", (RANK($F561,$F558:$F564) + IF(ISTEXT($H561), 0, (RANK($H561,$H558:$H564)/10)) + (RANK($G561,$G558:$G564)/100)))</f>
        <v>3.34</v>
      </c>
      <c r="W561" s="153"/>
    </row>
    <row r="562" ht="15.75" customHeight="1">
      <c r="A562" s="134"/>
      <c r="B562" s="134"/>
      <c r="C562" s="134"/>
      <c r="D562" s="412">
        <f t="shared" ref="D562:D564" si="82">D558</f>
        <v>46097</v>
      </c>
      <c r="E562" s="471" t="str">
        <f>$O$1</f>
        <v>TTAC</v>
      </c>
      <c r="F562" s="414">
        <f>IFERROR(AVERAGE(Rankings!$K562:$R562), "TBD")</f>
        <v>4.428571429</v>
      </c>
      <c r="G562" s="414">
        <f>IFERROR(_xlfn.STDEV.P(Rankings!$K562:$R562), "TBD")</f>
        <v>2.498979384</v>
      </c>
      <c r="H562" s="414">
        <f>IFERROR(AVERAGE(Rankings!$K562:$N562, Rankings!$P562:$R562), "TBD")</f>
        <v>5</v>
      </c>
      <c r="I562" s="439" t="s">
        <v>1424</v>
      </c>
      <c r="J562" s="439" t="s">
        <v>1425</v>
      </c>
      <c r="K562" s="430">
        <v>6.0</v>
      </c>
      <c r="L562" s="431">
        <v>7.0</v>
      </c>
      <c r="M562" s="431">
        <v>3.0</v>
      </c>
      <c r="N562" s="431">
        <v>1.0</v>
      </c>
      <c r="O562" s="431">
        <v>1.0</v>
      </c>
      <c r="P562" s="431">
        <v>7.0</v>
      </c>
      <c r="Q562" s="464">
        <v>6.0</v>
      </c>
      <c r="R562" s="465"/>
      <c r="S562" s="466">
        <f>IF(ISTEXT($V562), "TBD", RANK(V562,$V558:$V564))</f>
        <v>6</v>
      </c>
      <c r="T562" s="467">
        <v>1.0</v>
      </c>
      <c r="U562" s="468" t="b">
        <f>Rankings!$S562=Rankings!$T562</f>
        <v>0</v>
      </c>
      <c r="V562" s="461">
        <f>IF(ISTEXT(Rankings!F562), "TBD", (RANK($F562,$F558:$F564) + IF(ISTEXT($H562), 0, (RANK($H562,$H558:$H564)/10)) + (RANK($G562,$G558:$G564)/100)))</f>
        <v>2.11</v>
      </c>
      <c r="W562" s="153"/>
    </row>
    <row r="563" ht="15.75" customHeight="1">
      <c r="A563" s="134"/>
      <c r="B563" s="134"/>
      <c r="C563" s="134"/>
      <c r="D563" s="415">
        <f t="shared" si="82"/>
        <v>46097</v>
      </c>
      <c r="E563" s="472" t="str">
        <f>$P$1</f>
        <v>Weston</v>
      </c>
      <c r="F563" s="418">
        <f>IFERROR(AVERAGE(Rankings!$K563:$R563), "TBD")</f>
        <v>4</v>
      </c>
      <c r="G563" s="418">
        <f>IFERROR(_xlfn.STDEV.P(Rankings!$K563:$R563), "TBD")</f>
        <v>1.511857892</v>
      </c>
      <c r="H563" s="418">
        <f>IFERROR(AVERAGE(Rankings!$K563:$O563, Rankings!$Q563:$R563), "TBD")</f>
        <v>4.166666667</v>
      </c>
      <c r="I563" s="440" t="s">
        <v>1426</v>
      </c>
      <c r="J563" s="440" t="s">
        <v>1427</v>
      </c>
      <c r="K563" s="430">
        <v>2.0</v>
      </c>
      <c r="L563" s="431">
        <v>5.0</v>
      </c>
      <c r="M563" s="431">
        <v>4.0</v>
      </c>
      <c r="N563" s="431">
        <v>4.0</v>
      </c>
      <c r="O563" s="431">
        <v>3.0</v>
      </c>
      <c r="P563" s="431">
        <v>3.0</v>
      </c>
      <c r="Q563" s="464">
        <v>7.0</v>
      </c>
      <c r="R563" s="465"/>
      <c r="S563" s="466">
        <f>IF(ISTEXT($V563), "TBD", RANK(V563,$V558:$V564))</f>
        <v>3</v>
      </c>
      <c r="T563" s="467">
        <v>1.0</v>
      </c>
      <c r="U563" s="468" t="b">
        <f>Rankings!$S563=Rankings!$T563</f>
        <v>0</v>
      </c>
      <c r="V563" s="461">
        <f>IF(ISTEXT(Rankings!F563), "TBD", (RANK($F563,$F558:$F564) + IF(ISTEXT($H563), 0, (RANK($H563,$H558:$H564)/10)) + (RANK($G563,$G558:$G564)/100)))</f>
        <v>5.55</v>
      </c>
      <c r="W563" s="153"/>
    </row>
    <row r="564" ht="15.75" customHeight="1">
      <c r="A564" s="189"/>
      <c r="B564" s="189"/>
      <c r="C564" s="189"/>
      <c r="D564" s="473">
        <f t="shared" si="82"/>
        <v>46097</v>
      </c>
      <c r="E564" s="131" t="str">
        <f>$Q$1</f>
        <v>Flocco</v>
      </c>
      <c r="F564" s="474">
        <f>IFERROR(AVERAGE(Rankings!$K564:$R564), "TBD")</f>
        <v>4.571428571</v>
      </c>
      <c r="G564" s="474">
        <f>IFERROR(_xlfn.STDEV.P(Rankings!$K564:$R564), "TBD")</f>
        <v>1.293626448</v>
      </c>
      <c r="H564" s="474">
        <f>IFERROR(AVERAGE(Rankings!$K564:$P564, Rankings!$R564), "TBD")</f>
        <v>5</v>
      </c>
      <c r="I564" s="475" t="s">
        <v>1428</v>
      </c>
      <c r="J564" s="475" t="s">
        <v>1429</v>
      </c>
      <c r="K564" s="430">
        <v>4.0</v>
      </c>
      <c r="L564" s="431">
        <v>6.0</v>
      </c>
      <c r="M564" s="431">
        <v>6.0</v>
      </c>
      <c r="N564" s="431">
        <v>5.0</v>
      </c>
      <c r="O564" s="431">
        <v>5.0</v>
      </c>
      <c r="P564" s="431">
        <v>4.0</v>
      </c>
      <c r="Q564" s="464">
        <v>2.0</v>
      </c>
      <c r="R564" s="465"/>
      <c r="S564" s="466">
        <f>IF(ISTEXT($V564), "TBD", RANK(V564,$V558:$V564))</f>
        <v>7</v>
      </c>
      <c r="T564" s="467">
        <v>1.0</v>
      </c>
      <c r="U564" s="468" t="b">
        <f>Rankings!$S564=Rankings!$T564</f>
        <v>0</v>
      </c>
      <c r="V564" s="461">
        <f>IF(ISTEXT(Rankings!F564), "TBD", (RANK($F564,$F558:$F564) + IF(ISTEXT($H564), 0, (RANK($H564,$H558:$H564)/10)) + (RANK($G564,$G558:$G564)/100)))</f>
        <v>1.16</v>
      </c>
      <c r="W564" s="208"/>
    </row>
    <row r="565" ht="15.75" customHeight="1">
      <c r="A565" s="103">
        <v>46099.0</v>
      </c>
      <c r="B565" s="453"/>
      <c r="C565" s="454" t="str">
        <f t="array" ref="C565">INDEX(Rankings!$E565:$E571, MATCH(1, (Rankings!$D565:$D571=$A565)*(Rankings!$U565:$U571=TRUE()), 0))</f>
        <v>Giacomo</v>
      </c>
      <c r="D565" s="398">
        <f>A565</f>
        <v>46099</v>
      </c>
      <c r="E565" s="455" t="str">
        <f>$K$1</f>
        <v>Logan</v>
      </c>
      <c r="F565" s="400">
        <f>IFERROR(AVERAGE(Rankings!$K565:$R565), "TBD")</f>
        <v>4.285714286</v>
      </c>
      <c r="G565" s="400">
        <f>IFERROR(_xlfn.STDEV.P(Rankings!$K565:$R565), "TBD")</f>
        <v>1.829464068</v>
      </c>
      <c r="H565" s="400">
        <f>IFERROR(AVERAGE(Rankings!$L565:$R565), "TBD")</f>
        <v>4.5</v>
      </c>
      <c r="I565" s="421" t="s">
        <v>1430</v>
      </c>
      <c r="J565" s="421" t="s">
        <v>1431</v>
      </c>
      <c r="K565" s="422">
        <v>3.0</v>
      </c>
      <c r="L565" s="423">
        <v>3.0</v>
      </c>
      <c r="M565" s="423">
        <v>3.0</v>
      </c>
      <c r="N565" s="423">
        <v>6.0</v>
      </c>
      <c r="O565" s="423">
        <v>6.0</v>
      </c>
      <c r="P565" s="423">
        <v>7.0</v>
      </c>
      <c r="Q565" s="456">
        <v>2.0</v>
      </c>
      <c r="R565" s="457"/>
      <c r="S565" s="458">
        <f>IF(ISTEXT($V565), "TBD", RANK(V565,$V565:$V571))</f>
        <v>5</v>
      </c>
      <c r="T565" s="459">
        <v>1.0</v>
      </c>
      <c r="U565" s="460" t="b">
        <f>Rankings!$S565=Rankings!$T565</f>
        <v>0</v>
      </c>
      <c r="V565" s="461">
        <f>IF(ISTEXT(Rankings!F565), "TBD", (RANK($F565,$F565:$F571) + IF(ISTEXT($H565), 0, (RANK($H565,$H565:$H571)/10)) + (RANK($G565,$G565:$G571)/100)))</f>
        <v>3.34</v>
      </c>
      <c r="W565" s="462"/>
    </row>
    <row r="566" ht="15.75" customHeight="1">
      <c r="A566" s="134"/>
      <c r="B566" s="134"/>
      <c r="C566" s="134"/>
      <c r="D566" s="402">
        <f>D565</f>
        <v>46099</v>
      </c>
      <c r="E566" s="463" t="str">
        <f>$L$1</f>
        <v>Parker</v>
      </c>
      <c r="F566" s="404">
        <f>IFERROR(AVERAGE(Rankings!$K566:$R566), "TBD")</f>
        <v>3.571428571</v>
      </c>
      <c r="G566" s="404">
        <f>IFERROR(_xlfn.STDEV.P(Rankings!$K566:$R566), "TBD")</f>
        <v>2.060315015</v>
      </c>
      <c r="H566" s="404">
        <f>IFERROR(AVERAGE(Rankings!$K566, Rankings!$M566:$R566), "TBD")</f>
        <v>4</v>
      </c>
      <c r="I566" s="429" t="s">
        <v>1432</v>
      </c>
      <c r="J566" s="429" t="s">
        <v>1433</v>
      </c>
      <c r="K566" s="430">
        <v>5.0</v>
      </c>
      <c r="L566" s="431">
        <v>1.0</v>
      </c>
      <c r="M566" s="431">
        <v>1.0</v>
      </c>
      <c r="N566" s="431">
        <v>3.0</v>
      </c>
      <c r="O566" s="431">
        <v>7.0</v>
      </c>
      <c r="P566" s="431">
        <v>3.0</v>
      </c>
      <c r="Q566" s="464">
        <v>5.0</v>
      </c>
      <c r="R566" s="465"/>
      <c r="S566" s="466">
        <f>IF(ISTEXT($V566), "TBD", RANK(V566,$V565:$V571))</f>
        <v>2</v>
      </c>
      <c r="T566" s="467">
        <v>1.0</v>
      </c>
      <c r="U566" s="468" t="b">
        <f>Rankings!$S566=Rankings!$T566</f>
        <v>0</v>
      </c>
      <c r="V566" s="461">
        <f>IF(ISTEXT(Rankings!F566), "TBD", (RANK($F566,$F565:$F571) + IF(ISTEXT($H566), 0, (RANK($H566,$H565:$H571)/10)) + (RANK($G566,$G565:$G571)/100)))</f>
        <v>6.62</v>
      </c>
      <c r="W566" s="153"/>
    </row>
    <row r="567" ht="15.75" customHeight="1">
      <c r="A567" s="134"/>
      <c r="B567" s="134"/>
      <c r="C567" s="134"/>
      <c r="D567" s="406">
        <f>D565</f>
        <v>46099</v>
      </c>
      <c r="E567" s="469" t="str">
        <f>$M$1</f>
        <v>Giacomo</v>
      </c>
      <c r="F567" s="408">
        <f>IFERROR(AVERAGE(Rankings!$K567:$R567), "TBD")</f>
        <v>2.428571429</v>
      </c>
      <c r="G567" s="408">
        <f>IFERROR(_xlfn.STDEV.P(Rankings!$K567:$R567), "TBD")</f>
        <v>1.498298355</v>
      </c>
      <c r="H567" s="408">
        <f>IFERROR(AVERAGE(Rankings!$K567:$L567, Rankings!$N567:$R567), "TBD")</f>
        <v>2.5</v>
      </c>
      <c r="I567" s="437" t="s">
        <v>475</v>
      </c>
      <c r="J567" s="437" t="s">
        <v>1434</v>
      </c>
      <c r="K567" s="430">
        <v>2.0</v>
      </c>
      <c r="L567" s="431">
        <v>2.0</v>
      </c>
      <c r="M567" s="431">
        <v>2.0</v>
      </c>
      <c r="N567" s="431">
        <v>1.0</v>
      </c>
      <c r="O567" s="431">
        <v>2.0</v>
      </c>
      <c r="P567" s="431">
        <v>2.0</v>
      </c>
      <c r="Q567" s="464">
        <v>6.0</v>
      </c>
      <c r="R567" s="465"/>
      <c r="S567" s="466">
        <f>IF(ISTEXT($V567), "TBD", RANK(V567,$V565:$V571))</f>
        <v>1</v>
      </c>
      <c r="T567" s="467">
        <v>1.0</v>
      </c>
      <c r="U567" s="468" t="b">
        <f>Rankings!$S567=Rankings!$T567</f>
        <v>1</v>
      </c>
      <c r="V567" s="461">
        <f>IF(ISTEXT(Rankings!F567), "TBD", (RANK($F567,$F565:$F571) + IF(ISTEXT($H567), 0, (RANK($H567,$H565:$H571)/10)) + (RANK($G567,$G565:$G571)/100)))</f>
        <v>7.75</v>
      </c>
      <c r="W567" s="153"/>
    </row>
    <row r="568" ht="15.75" customHeight="1">
      <c r="A568" s="134"/>
      <c r="B568" s="134"/>
      <c r="C568" s="134"/>
      <c r="D568" s="409">
        <f>D565</f>
        <v>46099</v>
      </c>
      <c r="E568" s="470" t="str">
        <f>$N$1</f>
        <v>Rosey</v>
      </c>
      <c r="F568" s="411">
        <f>IFERROR(AVERAGE(Rankings!$K568:$R568), "TBD")</f>
        <v>4.714285714</v>
      </c>
      <c r="G568" s="411">
        <f>IFERROR(_xlfn.STDEV.P(Rankings!$K568:$R568), "TBD")</f>
        <v>2.249716535</v>
      </c>
      <c r="H568" s="411">
        <f>IFERROR(AVERAGE(Rankings!$K568:$M568, Rankings!$O568:$R568), "TBD")</f>
        <v>5.166666667</v>
      </c>
      <c r="I568" s="477">
        <v>1.0</v>
      </c>
      <c r="J568" s="438" t="s">
        <v>1435</v>
      </c>
      <c r="K568" s="430">
        <v>1.0</v>
      </c>
      <c r="L568" s="431">
        <v>7.0</v>
      </c>
      <c r="M568" s="431">
        <v>6.0</v>
      </c>
      <c r="N568" s="431">
        <v>2.0</v>
      </c>
      <c r="O568" s="431">
        <v>4.0</v>
      </c>
      <c r="P568" s="431">
        <v>6.0</v>
      </c>
      <c r="Q568" s="464">
        <v>7.0</v>
      </c>
      <c r="R568" s="465"/>
      <c r="S568" s="466">
        <f>IF(ISTEXT($V568), "TBD", RANK(V568,$V565:$V571))</f>
        <v>6</v>
      </c>
      <c r="T568" s="467">
        <v>1.0</v>
      </c>
      <c r="U568" s="468" t="b">
        <f>Rankings!$S568=Rankings!$T568</f>
        <v>0</v>
      </c>
      <c r="V568" s="461">
        <f>IF(ISTEXT(Rankings!F568), "TBD", (RANK($F568,$F565:$F571) + IF(ISTEXT($H568), 0, (RANK($H568,$H565:$H571)/10)) + (RANK($G568,$G565:$G571)/100)))</f>
        <v>2.21</v>
      </c>
      <c r="W568" s="153"/>
    </row>
    <row r="569" ht="15.75" customHeight="1">
      <c r="A569" s="134"/>
      <c r="B569" s="134"/>
      <c r="C569" s="134"/>
      <c r="D569" s="412">
        <f t="shared" ref="D569:D571" si="83">D565</f>
        <v>46099</v>
      </c>
      <c r="E569" s="471" t="str">
        <f>$O$1</f>
        <v>TTAC</v>
      </c>
      <c r="F569" s="414">
        <f>IFERROR(AVERAGE(Rankings!$K569:$R569), "TBD")</f>
        <v>5.428571429</v>
      </c>
      <c r="G569" s="414">
        <f>IFERROR(_xlfn.STDEV.P(Rankings!$K569:$R569), "TBD")</f>
        <v>1.498298355</v>
      </c>
      <c r="H569" s="414">
        <f>IFERROR(AVERAGE(Rankings!$K569:$N569, Rankings!$P569:$R569), "TBD")</f>
        <v>5.833333333</v>
      </c>
      <c r="I569" s="439" t="s">
        <v>1436</v>
      </c>
      <c r="J569" s="439" t="s">
        <v>1437</v>
      </c>
      <c r="K569" s="430">
        <v>7.0</v>
      </c>
      <c r="L569" s="431">
        <v>5.0</v>
      </c>
      <c r="M569" s="431">
        <v>7.0</v>
      </c>
      <c r="N569" s="431">
        <v>7.0</v>
      </c>
      <c r="O569" s="431">
        <v>3.0</v>
      </c>
      <c r="P569" s="431">
        <v>5.0</v>
      </c>
      <c r="Q569" s="464">
        <v>4.0</v>
      </c>
      <c r="R569" s="465"/>
      <c r="S569" s="466">
        <f>IF(ISTEXT($V569), "TBD", RANK(V569,$V565:$V571))</f>
        <v>7</v>
      </c>
      <c r="T569" s="467">
        <v>1.0</v>
      </c>
      <c r="U569" s="468" t="b">
        <f>Rankings!$S569=Rankings!$T569</f>
        <v>0</v>
      </c>
      <c r="V569" s="461">
        <f>IF(ISTEXT(Rankings!F569), "TBD", (RANK($F569,$F565:$F571) + IF(ISTEXT($H569), 0, (RANK($H569,$H565:$H571)/10)) + (RANK($G569,$G565:$G571)/100)))</f>
        <v>1.15</v>
      </c>
      <c r="W569" s="153"/>
    </row>
    <row r="570" ht="15.75" customHeight="1">
      <c r="A570" s="134"/>
      <c r="B570" s="134"/>
      <c r="C570" s="134"/>
      <c r="D570" s="415">
        <f t="shared" si="83"/>
        <v>46099</v>
      </c>
      <c r="E570" s="472" t="str">
        <f>$P$1</f>
        <v>Weston</v>
      </c>
      <c r="F570" s="418">
        <f>IFERROR(AVERAGE(Rankings!$K570:$R570), "TBD")</f>
        <v>3.857142857</v>
      </c>
      <c r="G570" s="418">
        <f>IFERROR(_xlfn.STDEV.P(Rankings!$K570:$R570), "TBD")</f>
        <v>1.355261854</v>
      </c>
      <c r="H570" s="418">
        <f>IFERROR(AVERAGE(Rankings!$K570:$O570, Rankings!$Q570:$R570), "TBD")</f>
        <v>4.333333333</v>
      </c>
      <c r="I570" s="440" t="s">
        <v>1438</v>
      </c>
      <c r="J570" s="440" t="s">
        <v>1439</v>
      </c>
      <c r="K570" s="430">
        <v>4.0</v>
      </c>
      <c r="L570" s="431">
        <v>4.0</v>
      </c>
      <c r="M570" s="431">
        <v>5.0</v>
      </c>
      <c r="N570" s="431">
        <v>5.0</v>
      </c>
      <c r="O570" s="431">
        <v>5.0</v>
      </c>
      <c r="P570" s="431">
        <v>1.0</v>
      </c>
      <c r="Q570" s="464">
        <v>3.0</v>
      </c>
      <c r="R570" s="465"/>
      <c r="S570" s="466">
        <f>IF(ISTEXT($V570), "TBD", RANK(V570,$V565:$V571))</f>
        <v>4</v>
      </c>
      <c r="T570" s="467">
        <v>1.0</v>
      </c>
      <c r="U570" s="468" t="b">
        <f>Rankings!$S570=Rankings!$T570</f>
        <v>0</v>
      </c>
      <c r="V570" s="461">
        <f>IF(ISTEXT(Rankings!F570), "TBD", (RANK($F570,$F565:$F571) + IF(ISTEXT($H570), 0, (RANK($H570,$H565:$H571)/10)) + (RANK($G570,$G565:$G571)/100)))</f>
        <v>4.47</v>
      </c>
      <c r="W570" s="153"/>
    </row>
    <row r="571" ht="15.75" customHeight="1">
      <c r="A571" s="189"/>
      <c r="B571" s="189"/>
      <c r="C571" s="189"/>
      <c r="D571" s="473">
        <f t="shared" si="83"/>
        <v>46099</v>
      </c>
      <c r="E571" s="131" t="str">
        <f>$Q$1</f>
        <v>Flocco</v>
      </c>
      <c r="F571" s="474">
        <f>IFERROR(AVERAGE(Rankings!$K571:$R571), "TBD")</f>
        <v>3.714285714</v>
      </c>
      <c r="G571" s="474">
        <f>IFERROR(_xlfn.STDEV.P(Rankings!$K571:$R571), "TBD")</f>
        <v>1.905952009</v>
      </c>
      <c r="H571" s="474">
        <f>IFERROR(AVERAGE(Rankings!$K571:$P571, Rankings!$R571), "TBD")</f>
        <v>4.166666667</v>
      </c>
      <c r="I571" s="475" t="s">
        <v>1440</v>
      </c>
      <c r="J571" s="475" t="s">
        <v>1441</v>
      </c>
      <c r="K571" s="430">
        <v>6.0</v>
      </c>
      <c r="L571" s="431">
        <v>6.0</v>
      </c>
      <c r="M571" s="431">
        <v>4.0</v>
      </c>
      <c r="N571" s="431">
        <v>4.0</v>
      </c>
      <c r="O571" s="431">
        <v>1.0</v>
      </c>
      <c r="P571" s="431">
        <v>4.0</v>
      </c>
      <c r="Q571" s="464">
        <v>1.0</v>
      </c>
      <c r="R571" s="465"/>
      <c r="S571" s="466">
        <f>IF(ISTEXT($V571), "TBD", RANK(V571,$V565:$V571))</f>
        <v>3</v>
      </c>
      <c r="T571" s="467">
        <v>1.0</v>
      </c>
      <c r="U571" s="468" t="b">
        <f>Rankings!$S571=Rankings!$T571</f>
        <v>0</v>
      </c>
      <c r="V571" s="461">
        <f>IF(ISTEXT(Rankings!F571), "TBD", (RANK($F571,$F565:$F571) + IF(ISTEXT($H571), 0, (RANK($H571,$H565:$H571)/10)) + (RANK($G571,$G565:$G571)/100)))</f>
        <v>5.53</v>
      </c>
      <c r="W571" s="208"/>
    </row>
    <row r="572" ht="15.75" customHeight="1">
      <c r="A572" s="103">
        <v>46101.0</v>
      </c>
      <c r="B572" s="453"/>
      <c r="C572" s="454" t="str">
        <f t="array" ref="C572">INDEX(Rankings!$E572:$E578, MATCH(1, (Rankings!$D572:$D578=$A572)*(Rankings!$U572:$U578=TRUE()), 0))</f>
        <v>Rosey</v>
      </c>
      <c r="D572" s="398">
        <f>A572</f>
        <v>46101</v>
      </c>
      <c r="E572" s="455" t="str">
        <f>$K$1</f>
        <v>Logan</v>
      </c>
      <c r="F572" s="400">
        <f>IFERROR(AVERAGE(Rankings!$K572:$R572), "TBD")</f>
        <v>5.142857143</v>
      </c>
      <c r="G572" s="400">
        <f>IFERROR(_xlfn.STDEV.P(Rankings!$K572:$R572), "TBD")</f>
        <v>1.726149425</v>
      </c>
      <c r="H572" s="400">
        <f>IFERROR(AVERAGE(Rankings!$L572:$R572), "TBD")</f>
        <v>5.666666667</v>
      </c>
      <c r="I572" s="421" t="s">
        <v>1442</v>
      </c>
      <c r="J572" s="421" t="s">
        <v>1443</v>
      </c>
      <c r="K572" s="422">
        <v>2.0</v>
      </c>
      <c r="L572" s="423">
        <v>4.0</v>
      </c>
      <c r="M572" s="423">
        <v>4.0</v>
      </c>
      <c r="N572" s="423">
        <v>6.0</v>
      </c>
      <c r="O572" s="423">
        <v>7.0</v>
      </c>
      <c r="P572" s="423">
        <v>7.0</v>
      </c>
      <c r="Q572" s="456">
        <v>6.0</v>
      </c>
      <c r="R572" s="457"/>
      <c r="S572" s="458">
        <f>IF(ISTEXT($V572), "TBD", RANK(V572,$V572:$V578))</f>
        <v>6</v>
      </c>
      <c r="T572" s="459">
        <v>1.0</v>
      </c>
      <c r="U572" s="460" t="b">
        <f>Rankings!$S572=Rankings!$T572</f>
        <v>0</v>
      </c>
      <c r="V572" s="461">
        <f>IF(ISTEXT(Rankings!F572), "TBD", (RANK($F572,$F572:$F578) + IF(ISTEXT($H572), 0, (RANK($H572,$H572:$H578)/10)) + (RANK($G572,$G572:$G578)/100)))</f>
        <v>2.25</v>
      </c>
      <c r="W572" s="329" t="s">
        <v>1444</v>
      </c>
    </row>
    <row r="573" ht="15.75" customHeight="1">
      <c r="A573" s="134"/>
      <c r="B573" s="134"/>
      <c r="C573" s="134"/>
      <c r="D573" s="402">
        <f>D572</f>
        <v>46101</v>
      </c>
      <c r="E573" s="463" t="str">
        <f>$L$1</f>
        <v>Parker</v>
      </c>
      <c r="F573" s="404">
        <f>IFERROR(AVERAGE(Rankings!$K573:$R573), "TBD")</f>
        <v>3.142857143</v>
      </c>
      <c r="G573" s="404">
        <f>IFERROR(_xlfn.STDEV.P(Rankings!$K573:$R573), "TBD")</f>
        <v>1.884415137</v>
      </c>
      <c r="H573" s="404">
        <f>IFERROR(AVERAGE(Rankings!$K573, Rankings!$M573:$R573), "TBD")</f>
        <v>3.333333333</v>
      </c>
      <c r="I573" s="429" t="s">
        <v>1445</v>
      </c>
      <c r="J573" s="429" t="s">
        <v>1446</v>
      </c>
      <c r="K573" s="430">
        <v>4.0</v>
      </c>
      <c r="L573" s="431">
        <v>2.0</v>
      </c>
      <c r="M573" s="431">
        <v>7.0</v>
      </c>
      <c r="N573" s="431">
        <v>2.0</v>
      </c>
      <c r="O573" s="431">
        <v>1.0</v>
      </c>
      <c r="P573" s="431">
        <v>2.0</v>
      </c>
      <c r="Q573" s="464">
        <v>4.0</v>
      </c>
      <c r="R573" s="465"/>
      <c r="S573" s="466">
        <f>IF(ISTEXT($V573), "TBD", RANK(V573,$V572:$V578))</f>
        <v>3</v>
      </c>
      <c r="T573" s="467">
        <v>1.0</v>
      </c>
      <c r="U573" s="468" t="b">
        <f>Rankings!$S573=Rankings!$T573</f>
        <v>0</v>
      </c>
      <c r="V573" s="461">
        <f>IF(ISTEXT(Rankings!F573), "TBD", (RANK($F573,$F572:$F578) + IF(ISTEXT($H573), 0, (RANK($H573,$H572:$H578)/10)) + (RANK($G573,$G572:$G578)/100)))</f>
        <v>5.51</v>
      </c>
      <c r="W573" s="153"/>
    </row>
    <row r="574" ht="15.75" customHeight="1">
      <c r="A574" s="134"/>
      <c r="B574" s="134"/>
      <c r="C574" s="134"/>
      <c r="D574" s="406">
        <f>D572</f>
        <v>46101</v>
      </c>
      <c r="E574" s="469" t="str">
        <f>$M$1</f>
        <v>Giacomo</v>
      </c>
      <c r="F574" s="408">
        <f>IFERROR(AVERAGE(Rankings!$K574:$R574), "TBD")</f>
        <v>3</v>
      </c>
      <c r="G574" s="408">
        <f>IFERROR(_xlfn.STDEV.P(Rankings!$K574:$R574), "TBD")</f>
        <v>1.8516402</v>
      </c>
      <c r="H574" s="408">
        <f>IFERROR(AVERAGE(Rankings!$K574:$L574, Rankings!$N574:$R574), "TBD")</f>
        <v>3.333333333</v>
      </c>
      <c r="I574" s="437" t="s">
        <v>1447</v>
      </c>
      <c r="J574" s="437" t="s">
        <v>1448</v>
      </c>
      <c r="K574" s="430">
        <v>3.0</v>
      </c>
      <c r="L574" s="431">
        <v>3.0</v>
      </c>
      <c r="M574" s="431">
        <v>1.0</v>
      </c>
      <c r="N574" s="431">
        <v>3.0</v>
      </c>
      <c r="O574" s="431">
        <v>3.0</v>
      </c>
      <c r="P574" s="431">
        <v>1.0</v>
      </c>
      <c r="Q574" s="464">
        <v>7.0</v>
      </c>
      <c r="R574" s="465"/>
      <c r="S574" s="466">
        <f>IF(ISTEXT($V574), "TBD", RANK(V574,$V572:$V578))</f>
        <v>2</v>
      </c>
      <c r="T574" s="467">
        <v>1.0</v>
      </c>
      <c r="U574" s="468" t="b">
        <f>Rankings!$S574=Rankings!$T574</f>
        <v>0</v>
      </c>
      <c r="V574" s="461">
        <f>IF(ISTEXT(Rankings!F574), "TBD", (RANK($F574,$F572:$F578) + IF(ISTEXT($H574), 0, (RANK($H574,$H572:$H578)/10)) + (RANK($G574,$G572:$G578)/100)))</f>
        <v>6.52</v>
      </c>
      <c r="W574" s="153"/>
    </row>
    <row r="575" ht="15.75" customHeight="1">
      <c r="A575" s="134"/>
      <c r="B575" s="134"/>
      <c r="C575" s="134"/>
      <c r="D575" s="409">
        <f>D572</f>
        <v>46101</v>
      </c>
      <c r="E575" s="470" t="str">
        <f>$N$1</f>
        <v>Rosey</v>
      </c>
      <c r="F575" s="411">
        <f>IFERROR(AVERAGE(Rankings!$K575:$R575), "TBD")</f>
        <v>2.285714286</v>
      </c>
      <c r="G575" s="411">
        <f>IFERROR(_xlfn.STDEV.P(Rankings!$K575:$R575), "TBD")</f>
        <v>1.749635531</v>
      </c>
      <c r="H575" s="411">
        <f>IFERROR(AVERAGE(Rankings!$K575:$M575, Rankings!$O575:$R575), "TBD")</f>
        <v>2.5</v>
      </c>
      <c r="I575" s="438" t="s">
        <v>35</v>
      </c>
      <c r="J575" s="438" t="s">
        <v>490</v>
      </c>
      <c r="K575" s="430">
        <v>1.0</v>
      </c>
      <c r="L575" s="431">
        <v>1.0</v>
      </c>
      <c r="M575" s="431">
        <v>2.0</v>
      </c>
      <c r="N575" s="431">
        <v>1.0</v>
      </c>
      <c r="O575" s="431">
        <v>5.0</v>
      </c>
      <c r="P575" s="431">
        <v>5.0</v>
      </c>
      <c r="Q575" s="464">
        <v>1.0</v>
      </c>
      <c r="R575" s="465"/>
      <c r="S575" s="466">
        <f>IF(ISTEXT($V575), "TBD", RANK(V575,$V572:$V578))</f>
        <v>1</v>
      </c>
      <c r="T575" s="467">
        <v>1.0</v>
      </c>
      <c r="U575" s="468" t="b">
        <f>Rankings!$S575=Rankings!$T575</f>
        <v>1</v>
      </c>
      <c r="V575" s="461">
        <f>IF(ISTEXT(Rankings!F575), "TBD", (RANK($F575,$F572:$F578) + IF(ISTEXT($H575), 0, (RANK($H575,$H572:$H578)/10)) + (RANK($G575,$G572:$G578)/100)))</f>
        <v>7.74</v>
      </c>
      <c r="W575" s="153"/>
    </row>
    <row r="576" ht="15.75" customHeight="1">
      <c r="A576" s="134"/>
      <c r="B576" s="134"/>
      <c r="C576" s="134"/>
      <c r="D576" s="412">
        <f t="shared" ref="D576:D578" si="84">D572</f>
        <v>46101</v>
      </c>
      <c r="E576" s="471" t="str">
        <f>$O$1</f>
        <v>TTAC</v>
      </c>
      <c r="F576" s="414">
        <f>IFERROR(AVERAGE(Rankings!$K576:$R576), "TBD")</f>
        <v>4.571428571</v>
      </c>
      <c r="G576" s="414">
        <f>IFERROR(_xlfn.STDEV.P(Rankings!$K576:$R576), "TBD")</f>
        <v>1.761261144</v>
      </c>
      <c r="H576" s="414">
        <f>IFERROR(AVERAGE(Rankings!$K576:$N576, Rankings!$P576:$R576), "TBD")</f>
        <v>5</v>
      </c>
      <c r="I576" s="439" t="s">
        <v>1449</v>
      </c>
      <c r="J576" s="439" t="s">
        <v>1450</v>
      </c>
      <c r="K576" s="430">
        <v>6.0</v>
      </c>
      <c r="L576" s="431">
        <v>5.0</v>
      </c>
      <c r="M576" s="431">
        <v>3.0</v>
      </c>
      <c r="N576" s="431">
        <v>7.0</v>
      </c>
      <c r="O576" s="431">
        <v>2.0</v>
      </c>
      <c r="P576" s="431">
        <v>6.0</v>
      </c>
      <c r="Q576" s="464">
        <v>3.0</v>
      </c>
      <c r="R576" s="465"/>
      <c r="S576" s="466">
        <f>IF(ISTEXT($V576), "TBD", RANK(V576,$V572:$V578))</f>
        <v>5</v>
      </c>
      <c r="T576" s="467">
        <v>1.0</v>
      </c>
      <c r="U576" s="468" t="b">
        <f>Rankings!$S576=Rankings!$T576</f>
        <v>0</v>
      </c>
      <c r="V576" s="461">
        <f>IF(ISTEXT(Rankings!F576), "TBD", (RANK($F576,$F572:$F578) + IF(ISTEXT($H576), 0, (RANK($H576,$H572:$H578)/10)) + (RANK($G576,$G572:$G578)/100)))</f>
        <v>3.33</v>
      </c>
      <c r="W576" s="153"/>
    </row>
    <row r="577" ht="15.75" customHeight="1">
      <c r="A577" s="134"/>
      <c r="B577" s="134"/>
      <c r="C577" s="134"/>
      <c r="D577" s="415">
        <f t="shared" si="84"/>
        <v>46101</v>
      </c>
      <c r="E577" s="472" t="str">
        <f>$P$1</f>
        <v>Weston</v>
      </c>
      <c r="F577" s="418">
        <f>IFERROR(AVERAGE(Rankings!$K577:$R577), "TBD")</f>
        <v>5.428571429</v>
      </c>
      <c r="G577" s="418">
        <f>IFERROR(_xlfn.STDEV.P(Rankings!$K577:$R577), "TBD")</f>
        <v>1.178030179</v>
      </c>
      <c r="H577" s="418">
        <f>IFERROR(AVERAGE(Rankings!$K577:$O577, Rankings!$Q577:$R577), "TBD")</f>
        <v>5.833333333</v>
      </c>
      <c r="I577" s="440" t="s">
        <v>1451</v>
      </c>
      <c r="J577" s="440" t="s">
        <v>1452</v>
      </c>
      <c r="K577" s="430">
        <v>7.0</v>
      </c>
      <c r="L577" s="431">
        <v>6.0</v>
      </c>
      <c r="M577" s="431">
        <v>6.0</v>
      </c>
      <c r="N577" s="431">
        <v>5.0</v>
      </c>
      <c r="O577" s="431">
        <v>6.0</v>
      </c>
      <c r="P577" s="431">
        <v>3.0</v>
      </c>
      <c r="Q577" s="464">
        <v>5.0</v>
      </c>
      <c r="R577" s="465"/>
      <c r="S577" s="466">
        <f>IF(ISTEXT($V577), "TBD", RANK(V577,$V572:$V578))</f>
        <v>7</v>
      </c>
      <c r="T577" s="467">
        <v>1.0</v>
      </c>
      <c r="U577" s="468" t="b">
        <f>Rankings!$S577=Rankings!$T577</f>
        <v>0</v>
      </c>
      <c r="V577" s="461">
        <f>IF(ISTEXT(Rankings!F577), "TBD", (RANK($F577,$F572:$F578) + IF(ISTEXT($H577), 0, (RANK($H577,$H572:$H578)/10)) + (RANK($G577,$G572:$G578)/100)))</f>
        <v>1.17</v>
      </c>
      <c r="W577" s="153"/>
    </row>
    <row r="578" ht="15.75" customHeight="1">
      <c r="A578" s="189"/>
      <c r="B578" s="189"/>
      <c r="C578" s="189"/>
      <c r="D578" s="473">
        <f t="shared" si="84"/>
        <v>46101</v>
      </c>
      <c r="E578" s="131" t="str">
        <f>$Q$1</f>
        <v>Flocco</v>
      </c>
      <c r="F578" s="474">
        <f>IFERROR(AVERAGE(Rankings!$K578:$R578), "TBD")</f>
        <v>4.428571429</v>
      </c>
      <c r="G578" s="474">
        <f>IFERROR(_xlfn.STDEV.P(Rankings!$K578:$R578), "TBD")</f>
        <v>1.399708424</v>
      </c>
      <c r="H578" s="474">
        <f>IFERROR(AVERAGE(Rankings!$K578:$P578, Rankings!$R578), "TBD")</f>
        <v>4.833333333</v>
      </c>
      <c r="I578" s="475" t="s">
        <v>1453</v>
      </c>
      <c r="J578" s="475" t="s">
        <v>490</v>
      </c>
      <c r="K578" s="430">
        <v>5.0</v>
      </c>
      <c r="L578" s="431">
        <v>7.0</v>
      </c>
      <c r="M578" s="431">
        <v>5.0</v>
      </c>
      <c r="N578" s="431">
        <v>4.0</v>
      </c>
      <c r="O578" s="431">
        <v>4.0</v>
      </c>
      <c r="P578" s="431">
        <v>4.0</v>
      </c>
      <c r="Q578" s="464">
        <v>2.0</v>
      </c>
      <c r="R578" s="465"/>
      <c r="S578" s="466">
        <f>IF(ISTEXT($V578), "TBD", RANK(V578,$V572:$V578))</f>
        <v>4</v>
      </c>
      <c r="T578" s="467">
        <v>1.0</v>
      </c>
      <c r="U578" s="468" t="b">
        <f>Rankings!$S578=Rankings!$T578</f>
        <v>0</v>
      </c>
      <c r="V578" s="461">
        <f>IF(ISTEXT(Rankings!F578), "TBD", (RANK($F578,$F572:$F578) + IF(ISTEXT($H578), 0, (RANK($H578,$H572:$H578)/10)) + (RANK($G578,$G572:$G578)/100)))</f>
        <v>4.46</v>
      </c>
      <c r="W578" s="208"/>
    </row>
    <row r="579" ht="15.75" customHeight="1">
      <c r="A579" s="103">
        <v>46104.0</v>
      </c>
      <c r="B579" s="453"/>
      <c r="C579" s="454" t="str">
        <f t="array" ref="C579">INDEX(Rankings!$E579:$E585, MATCH(1, (Rankings!$D579:$D585=$A579)*(Rankings!$U579:$U585=TRUE()), 0))</f>
        <v>Giacomo</v>
      </c>
      <c r="D579" s="398">
        <f>A579</f>
        <v>46104</v>
      </c>
      <c r="E579" s="455" t="str">
        <f>$K$1</f>
        <v>Logan</v>
      </c>
      <c r="F579" s="400">
        <f>IFERROR(AVERAGE(Rankings!$K579:$R579), "TBD")</f>
        <v>3.571428571</v>
      </c>
      <c r="G579" s="400">
        <f>IFERROR(_xlfn.STDEV.P(Rankings!$K579:$R579), "TBD")</f>
        <v>1.590789818</v>
      </c>
      <c r="H579" s="400">
        <f>IFERROR(AVERAGE(Rankings!$L579:$R579), "TBD")</f>
        <v>3.833333333</v>
      </c>
      <c r="I579" s="421" t="s">
        <v>1454</v>
      </c>
      <c r="J579" s="421" t="s">
        <v>296</v>
      </c>
      <c r="K579" s="422">
        <v>2.0</v>
      </c>
      <c r="L579" s="423">
        <v>4.0</v>
      </c>
      <c r="M579" s="423">
        <v>5.0</v>
      </c>
      <c r="N579" s="423">
        <v>1.0</v>
      </c>
      <c r="O579" s="423">
        <v>6.0</v>
      </c>
      <c r="P579" s="423">
        <v>3.0</v>
      </c>
      <c r="Q579" s="456">
        <v>4.0</v>
      </c>
      <c r="R579" s="457"/>
      <c r="S579" s="458">
        <f>IF(ISTEXT($V579), "TBD", RANK(V579,$V579:$V585))</f>
        <v>4</v>
      </c>
      <c r="T579" s="459">
        <v>1.0</v>
      </c>
      <c r="U579" s="460" t="b">
        <f>Rankings!$S579=Rankings!$T579</f>
        <v>0</v>
      </c>
      <c r="V579" s="461">
        <f>IF(ISTEXT(Rankings!F579), "TBD", (RANK($F579,$F579:$F585) + IF(ISTEXT($H579), 0, (RANK($H579,$H579:$H585)/10)) + (RANK($G579,$G579:$G585)/100)))</f>
        <v>4.46</v>
      </c>
      <c r="W579" s="462"/>
    </row>
    <row r="580" ht="15.75" customHeight="1">
      <c r="A580" s="134"/>
      <c r="B580" s="134"/>
      <c r="C580" s="134"/>
      <c r="D580" s="402">
        <f>D579</f>
        <v>46104</v>
      </c>
      <c r="E580" s="463" t="str">
        <f>$L$1</f>
        <v>Parker</v>
      </c>
      <c r="F580" s="404">
        <f>IFERROR(AVERAGE(Rankings!$K580:$R580), "TBD")</f>
        <v>3.285714286</v>
      </c>
      <c r="G580" s="404">
        <f>IFERROR(_xlfn.STDEV.P(Rankings!$K580:$R580), "TBD")</f>
        <v>1.160576915</v>
      </c>
      <c r="H580" s="404">
        <f>IFERROR(AVERAGE(Rankings!$K580, Rankings!$M580:$R580), "TBD")</f>
        <v>3.333333333</v>
      </c>
      <c r="I580" s="429" t="s">
        <v>1455</v>
      </c>
      <c r="J580" s="429" t="s">
        <v>1456</v>
      </c>
      <c r="K580" s="430">
        <v>4.0</v>
      </c>
      <c r="L580" s="431">
        <v>3.0</v>
      </c>
      <c r="M580" s="431">
        <v>3.0</v>
      </c>
      <c r="N580" s="431">
        <v>4.0</v>
      </c>
      <c r="O580" s="431">
        <v>5.0</v>
      </c>
      <c r="P580" s="431">
        <v>1.0</v>
      </c>
      <c r="Q580" s="464">
        <v>3.0</v>
      </c>
      <c r="R580" s="465"/>
      <c r="S580" s="466">
        <f>IF(ISTEXT($V580), "TBD", RANK(V580,$V579:$V585))</f>
        <v>2</v>
      </c>
      <c r="T580" s="467">
        <v>1.0</v>
      </c>
      <c r="U580" s="468" t="b">
        <f>Rankings!$S580=Rankings!$T580</f>
        <v>0</v>
      </c>
      <c r="V580" s="461">
        <f>IF(ISTEXT(Rankings!F580), "TBD", (RANK($F580,$F579:$F585) + IF(ISTEXT($H580), 0, (RANK($H580,$H579:$H585)/10)) + (RANK($G580,$G579:$G585)/100)))</f>
        <v>6.67</v>
      </c>
      <c r="W580" s="153"/>
    </row>
    <row r="581" ht="15.75" customHeight="1">
      <c r="A581" s="134"/>
      <c r="B581" s="134"/>
      <c r="C581" s="134"/>
      <c r="D581" s="406">
        <f>D579</f>
        <v>46104</v>
      </c>
      <c r="E581" s="469" t="str">
        <f>$M$1</f>
        <v>Giacomo</v>
      </c>
      <c r="F581" s="408">
        <f>IFERROR(AVERAGE(Rankings!$K581:$R581), "TBD")</f>
        <v>3</v>
      </c>
      <c r="G581" s="408">
        <f>IFERROR(_xlfn.STDEV.P(Rankings!$K581:$R581), "TBD")</f>
        <v>1.603567451</v>
      </c>
      <c r="H581" s="408">
        <f>IFERROR(AVERAGE(Rankings!$K581:$L581, Rankings!$N581:$R581), "TBD")</f>
        <v>3.166666667</v>
      </c>
      <c r="I581" s="437" t="s">
        <v>486</v>
      </c>
      <c r="J581" s="437" t="s">
        <v>1457</v>
      </c>
      <c r="K581" s="430">
        <v>1.0</v>
      </c>
      <c r="L581" s="431">
        <v>1.0</v>
      </c>
      <c r="M581" s="431">
        <v>2.0</v>
      </c>
      <c r="N581" s="431">
        <v>5.0</v>
      </c>
      <c r="O581" s="431">
        <v>3.0</v>
      </c>
      <c r="P581" s="431">
        <v>4.0</v>
      </c>
      <c r="Q581" s="464">
        <v>5.0</v>
      </c>
      <c r="R581" s="465"/>
      <c r="S581" s="466">
        <f>IF(ISTEXT($V581), "TBD", RANK(V581,$V579:$V585))</f>
        <v>1</v>
      </c>
      <c r="T581" s="467">
        <v>1.0</v>
      </c>
      <c r="U581" s="468" t="b">
        <f>Rankings!$S581=Rankings!$T581</f>
        <v>1</v>
      </c>
      <c r="V581" s="461">
        <f>IF(ISTEXT(Rankings!F581), "TBD", (RANK($F581,$F579:$F585) + IF(ISTEXT($H581), 0, (RANK($H581,$H579:$H585)/10)) + (RANK($G581,$G579:$G585)/100)))</f>
        <v>7.75</v>
      </c>
      <c r="W581" s="153"/>
    </row>
    <row r="582" ht="15.75" customHeight="1">
      <c r="A582" s="134"/>
      <c r="B582" s="134"/>
      <c r="C582" s="134"/>
      <c r="D582" s="409">
        <f>D579</f>
        <v>46104</v>
      </c>
      <c r="E582" s="470" t="str">
        <f>$N$1</f>
        <v>Rosey</v>
      </c>
      <c r="F582" s="411">
        <f>IFERROR(AVERAGE(Rankings!$K582:$R582), "TBD")</f>
        <v>3.428571429</v>
      </c>
      <c r="G582" s="411">
        <f>IFERROR(_xlfn.STDEV.P(Rankings!$K582:$R582), "TBD")</f>
        <v>1.989769754</v>
      </c>
      <c r="H582" s="411">
        <f>IFERROR(AVERAGE(Rankings!$K582:$M582, Rankings!$O582:$R582), "TBD")</f>
        <v>3.666666667</v>
      </c>
      <c r="I582" s="438" t="s">
        <v>1458</v>
      </c>
      <c r="J582" s="438" t="s">
        <v>1459</v>
      </c>
      <c r="K582" s="430">
        <v>5.0</v>
      </c>
      <c r="L582" s="431">
        <v>2.0</v>
      </c>
      <c r="M582" s="431">
        <v>1.0</v>
      </c>
      <c r="N582" s="431">
        <v>2.0</v>
      </c>
      <c r="O582" s="431">
        <v>2.0</v>
      </c>
      <c r="P582" s="431">
        <v>6.0</v>
      </c>
      <c r="Q582" s="464">
        <v>6.0</v>
      </c>
      <c r="R582" s="465"/>
      <c r="S582" s="466">
        <f>IF(ISTEXT($V582), "TBD", RANK(V582,$V579:$V585))</f>
        <v>3</v>
      </c>
      <c r="T582" s="467">
        <v>1.0</v>
      </c>
      <c r="U582" s="468" t="b">
        <f>Rankings!$S582=Rankings!$T582</f>
        <v>0</v>
      </c>
      <c r="V582" s="461">
        <f>IF(ISTEXT(Rankings!F582), "TBD", (RANK($F582,$F579:$F585) + IF(ISTEXT($H582), 0, (RANK($H582,$H579:$H585)/10)) + (RANK($G582,$G579:$G585)/100)))</f>
        <v>5.52</v>
      </c>
      <c r="W582" s="153"/>
    </row>
    <row r="583" ht="15.75" customHeight="1">
      <c r="A583" s="134"/>
      <c r="B583" s="134"/>
      <c r="C583" s="134"/>
      <c r="D583" s="412">
        <f t="shared" ref="D583:D585" si="85">D579</f>
        <v>46104</v>
      </c>
      <c r="E583" s="471" t="str">
        <f>$O$1</f>
        <v>TTAC</v>
      </c>
      <c r="F583" s="414">
        <f>IFERROR(AVERAGE(Rankings!$K583:$R583), "TBD")</f>
        <v>6</v>
      </c>
      <c r="G583" s="414">
        <f>IFERROR(_xlfn.STDEV.P(Rankings!$K583:$R583), "TBD")</f>
        <v>2.070196678</v>
      </c>
      <c r="H583" s="414">
        <f>IFERROR(AVERAGE(Rankings!$K583:$N583, Rankings!$P583:$R583), "TBD")</f>
        <v>6.833333333</v>
      </c>
      <c r="I583" s="439" t="s">
        <v>1460</v>
      </c>
      <c r="J583" s="439" t="s">
        <v>1461</v>
      </c>
      <c r="K583" s="430">
        <v>7.0</v>
      </c>
      <c r="L583" s="431">
        <v>7.0</v>
      </c>
      <c r="M583" s="431">
        <v>7.0</v>
      </c>
      <c r="N583" s="431">
        <v>6.0</v>
      </c>
      <c r="O583" s="431">
        <v>1.0</v>
      </c>
      <c r="P583" s="431">
        <v>7.0</v>
      </c>
      <c r="Q583" s="464">
        <v>7.0</v>
      </c>
      <c r="R583" s="465"/>
      <c r="S583" s="466">
        <f>IF(ISTEXT($V583), "TBD", RANK(V583,$V579:$V585))</f>
        <v>7</v>
      </c>
      <c r="T583" s="467">
        <v>1.0</v>
      </c>
      <c r="U583" s="468" t="b">
        <f>Rankings!$S583=Rankings!$T583</f>
        <v>0</v>
      </c>
      <c r="V583" s="461">
        <f>IF(ISTEXT(Rankings!F583), "TBD", (RANK($F583,$F579:$F585) + IF(ISTEXT($H583), 0, (RANK($H583,$H579:$H585)/10)) + (RANK($G583,$G579:$G585)/100)))</f>
        <v>1.11</v>
      </c>
      <c r="W583" s="153"/>
    </row>
    <row r="584" ht="15.75" customHeight="1">
      <c r="A584" s="134"/>
      <c r="B584" s="134"/>
      <c r="C584" s="134"/>
      <c r="D584" s="415">
        <f t="shared" si="85"/>
        <v>46104</v>
      </c>
      <c r="E584" s="472" t="str">
        <f>$P$1</f>
        <v>Weston</v>
      </c>
      <c r="F584" s="418">
        <f>IFERROR(AVERAGE(Rankings!$K584:$R584), "TBD")</f>
        <v>3.714285714</v>
      </c>
      <c r="G584" s="418">
        <f>IFERROR(_xlfn.STDEV.P(Rankings!$K584:$R584), "TBD")</f>
        <v>1.665986256</v>
      </c>
      <c r="H584" s="418">
        <f>IFERROR(AVERAGE(Rankings!$K584:$O584, Rankings!$Q584:$R584), "TBD")</f>
        <v>4</v>
      </c>
      <c r="I584" s="440" t="s">
        <v>1462</v>
      </c>
      <c r="J584" s="440" t="s">
        <v>1463</v>
      </c>
      <c r="K584" s="430">
        <v>3.0</v>
      </c>
      <c r="L584" s="431">
        <v>5.0</v>
      </c>
      <c r="M584" s="431">
        <v>4.0</v>
      </c>
      <c r="N584" s="431">
        <v>3.0</v>
      </c>
      <c r="O584" s="431">
        <v>7.0</v>
      </c>
      <c r="P584" s="431">
        <v>2.0</v>
      </c>
      <c r="Q584" s="464">
        <v>2.0</v>
      </c>
      <c r="R584" s="465"/>
      <c r="S584" s="466">
        <f>IF(ISTEXT($V584), "TBD", RANK(V584,$V579:$V585))</f>
        <v>5</v>
      </c>
      <c r="T584" s="467">
        <v>1.0</v>
      </c>
      <c r="U584" s="468" t="b">
        <f>Rankings!$S584=Rankings!$T584</f>
        <v>0</v>
      </c>
      <c r="V584" s="461">
        <f>IF(ISTEXT(Rankings!F584), "TBD", (RANK($F584,$F579:$F585) + IF(ISTEXT($H584), 0, (RANK($H584,$H579:$H585)/10)) + (RANK($G584,$G579:$G585)/100)))</f>
        <v>3.34</v>
      </c>
      <c r="W584" s="153"/>
    </row>
    <row r="585" ht="15.75" customHeight="1">
      <c r="A585" s="189"/>
      <c r="B585" s="189"/>
      <c r="C585" s="189"/>
      <c r="D585" s="473">
        <f t="shared" si="85"/>
        <v>46104</v>
      </c>
      <c r="E585" s="131" t="str">
        <f>$Q$1</f>
        <v>Flocco</v>
      </c>
      <c r="F585" s="474">
        <f>IFERROR(AVERAGE(Rankings!$K585:$R585), "TBD")</f>
        <v>5</v>
      </c>
      <c r="G585" s="474">
        <f>IFERROR(_xlfn.STDEV.P(Rankings!$K585:$R585), "TBD")</f>
        <v>1.8516402</v>
      </c>
      <c r="H585" s="474">
        <f>IFERROR(AVERAGE(Rankings!$K585:$P585, Rankings!$R585), "TBD")</f>
        <v>5.666666667</v>
      </c>
      <c r="I585" s="475" t="s">
        <v>1464</v>
      </c>
      <c r="J585" s="475" t="s">
        <v>1465</v>
      </c>
      <c r="K585" s="430">
        <v>6.0</v>
      </c>
      <c r="L585" s="431">
        <v>6.0</v>
      </c>
      <c r="M585" s="431">
        <v>6.0</v>
      </c>
      <c r="N585" s="431">
        <v>7.0</v>
      </c>
      <c r="O585" s="431">
        <v>4.0</v>
      </c>
      <c r="P585" s="431">
        <v>5.0</v>
      </c>
      <c r="Q585" s="464">
        <v>1.0</v>
      </c>
      <c r="R585" s="465"/>
      <c r="S585" s="466">
        <f>IF(ISTEXT($V585), "TBD", RANK(V585,$V579:$V585))</f>
        <v>6</v>
      </c>
      <c r="T585" s="467">
        <v>1.0</v>
      </c>
      <c r="U585" s="468" t="b">
        <f>Rankings!$S585=Rankings!$T585</f>
        <v>0</v>
      </c>
      <c r="V585" s="461">
        <f>IF(ISTEXT(Rankings!F585), "TBD", (RANK($F585,$F579:$F585) + IF(ISTEXT($H585), 0, (RANK($H585,$H579:$H585)/10)) + (RANK($G585,$G579:$G585)/100)))</f>
        <v>2.23</v>
      </c>
      <c r="W585" s="208"/>
    </row>
    <row r="586" ht="15.75" customHeight="1">
      <c r="A586" s="103">
        <v>46106.0</v>
      </c>
      <c r="B586" s="453"/>
      <c r="C586" s="454" t="str">
        <f t="array" ref="C586">INDEX(Rankings!$E586:$E592, MATCH(1, (Rankings!$D586:$D592=$A586)*(Rankings!$U586:$U592=TRUE()), 0))</f>
        <v>Weston</v>
      </c>
      <c r="D586" s="398">
        <f>A586</f>
        <v>46106</v>
      </c>
      <c r="E586" s="455" t="str">
        <f>$K$1</f>
        <v>Logan</v>
      </c>
      <c r="F586" s="400">
        <f>IFERROR(AVERAGE(Rankings!$K586:$R586), "TBD")</f>
        <v>5.285714286</v>
      </c>
      <c r="G586" s="400">
        <f>IFERROR(_xlfn.STDEV.P(Rankings!$K586:$R586), "TBD")</f>
        <v>1.979486637</v>
      </c>
      <c r="H586" s="400">
        <f>IFERROR(AVERAGE(Rankings!$L586:$R586), "TBD")</f>
        <v>6</v>
      </c>
      <c r="I586" s="421" t="s">
        <v>1466</v>
      </c>
      <c r="J586" s="421" t="s">
        <v>1467</v>
      </c>
      <c r="K586" s="422">
        <v>1.0</v>
      </c>
      <c r="L586" s="423">
        <v>6.0</v>
      </c>
      <c r="M586" s="423">
        <v>6.0</v>
      </c>
      <c r="N586" s="423">
        <v>4.0</v>
      </c>
      <c r="O586" s="423">
        <v>7.0</v>
      </c>
      <c r="P586" s="423">
        <v>7.0</v>
      </c>
      <c r="Q586" s="456">
        <v>6.0</v>
      </c>
      <c r="R586" s="457"/>
      <c r="S586" s="458">
        <f>IF(ISTEXT($V586), "TBD", RANK(V586,$V586:$V592))</f>
        <v>6</v>
      </c>
      <c r="T586" s="459">
        <v>1.0</v>
      </c>
      <c r="U586" s="460" t="b">
        <f>Rankings!$S586=Rankings!$T586</f>
        <v>0</v>
      </c>
      <c r="V586" s="461">
        <f>IF(ISTEXT(Rankings!F586), "TBD", (RANK($F586,$F586:$F592) + IF(ISTEXT($H586), 0, (RANK($H586,$H586:$H592)/10)) + (RANK($G586,$G586:$G592)/100)))</f>
        <v>2.13</v>
      </c>
      <c r="W586" s="462"/>
    </row>
    <row r="587" ht="15.75" customHeight="1">
      <c r="A587" s="134"/>
      <c r="B587" s="134"/>
      <c r="C587" s="134"/>
      <c r="D587" s="402">
        <f>D586</f>
        <v>46106</v>
      </c>
      <c r="E587" s="463" t="str">
        <f>$L$1</f>
        <v>Parker</v>
      </c>
      <c r="F587" s="404">
        <f>IFERROR(AVERAGE(Rankings!$K587:$R587), "TBD")</f>
        <v>4</v>
      </c>
      <c r="G587" s="404">
        <f>IFERROR(_xlfn.STDEV.P(Rankings!$K587:$R587), "TBD")</f>
        <v>1.069044968</v>
      </c>
      <c r="H587" s="404">
        <f>IFERROR(AVERAGE(Rankings!$K587, Rankings!$M587:$R587), "TBD")</f>
        <v>4</v>
      </c>
      <c r="I587" s="429" t="s">
        <v>1468</v>
      </c>
      <c r="J587" s="429" t="s">
        <v>1469</v>
      </c>
      <c r="K587" s="430">
        <v>5.0</v>
      </c>
      <c r="L587" s="431">
        <v>4.0</v>
      </c>
      <c r="M587" s="431">
        <v>3.0</v>
      </c>
      <c r="N587" s="431">
        <v>5.0</v>
      </c>
      <c r="O587" s="431">
        <v>5.0</v>
      </c>
      <c r="P587" s="431">
        <v>2.0</v>
      </c>
      <c r="Q587" s="464">
        <v>4.0</v>
      </c>
      <c r="R587" s="465"/>
      <c r="S587" s="466">
        <f>IF(ISTEXT($V587), "TBD", RANK(V587,$V586:$V592))</f>
        <v>4</v>
      </c>
      <c r="T587" s="467">
        <v>1.0</v>
      </c>
      <c r="U587" s="468" t="b">
        <f>Rankings!$S587=Rankings!$T587</f>
        <v>0</v>
      </c>
      <c r="V587" s="461">
        <f>IF(ISTEXT(Rankings!F587), "TBD", (RANK($F587,$F586:$F592) + IF(ISTEXT($H587), 0, (RANK($H587,$H586:$H592)/10)) + (RANK($G587,$G586:$G592)/100)))</f>
        <v>4.47</v>
      </c>
      <c r="W587" s="153"/>
    </row>
    <row r="588" ht="15.75" customHeight="1">
      <c r="A588" s="134"/>
      <c r="B588" s="134"/>
      <c r="C588" s="134"/>
      <c r="D588" s="406">
        <f>D586</f>
        <v>46106</v>
      </c>
      <c r="E588" s="469" t="str">
        <f>$M$1</f>
        <v>Giacomo</v>
      </c>
      <c r="F588" s="408">
        <f>IFERROR(AVERAGE(Rankings!$K588:$R588), "TBD")</f>
        <v>4.428571429</v>
      </c>
      <c r="G588" s="408">
        <f>IFERROR(_xlfn.STDEV.P(Rankings!$K588:$R588), "TBD")</f>
        <v>1.989769754</v>
      </c>
      <c r="H588" s="408">
        <f>IFERROR(AVERAGE(Rankings!$K588:$L588, Rankings!$N588:$R588), "TBD")</f>
        <v>4.833333333</v>
      </c>
      <c r="I588" s="437" t="s">
        <v>1470</v>
      </c>
      <c r="J588" s="437" t="s">
        <v>1471</v>
      </c>
      <c r="K588" s="430">
        <v>7.0</v>
      </c>
      <c r="L588" s="431">
        <v>3.0</v>
      </c>
      <c r="M588" s="431">
        <v>2.0</v>
      </c>
      <c r="N588" s="431">
        <v>3.0</v>
      </c>
      <c r="O588" s="431">
        <v>3.0</v>
      </c>
      <c r="P588" s="431">
        <v>6.0</v>
      </c>
      <c r="Q588" s="464">
        <v>7.0</v>
      </c>
      <c r="R588" s="465"/>
      <c r="S588" s="466">
        <f>IF(ISTEXT($V588), "TBD", RANK(V588,$V586:$V592))</f>
        <v>5</v>
      </c>
      <c r="T588" s="467">
        <v>1.0</v>
      </c>
      <c r="U588" s="468" t="b">
        <f>Rankings!$S588=Rankings!$T588</f>
        <v>0</v>
      </c>
      <c r="V588" s="461">
        <f>IF(ISTEXT(Rankings!F588), "TBD", (RANK($F588,$F586:$F592) + IF(ISTEXT($H588), 0, (RANK($H588,$H586:$H592)/10)) + (RANK($G588,$G586:$G592)/100)))</f>
        <v>3.32</v>
      </c>
      <c r="W588" s="153"/>
    </row>
    <row r="589" ht="15.75" customHeight="1">
      <c r="A589" s="134"/>
      <c r="B589" s="134"/>
      <c r="C589" s="134"/>
      <c r="D589" s="409">
        <f>D586</f>
        <v>46106</v>
      </c>
      <c r="E589" s="470" t="str">
        <f>$N$1</f>
        <v>Rosey</v>
      </c>
      <c r="F589" s="411">
        <f>IFERROR(AVERAGE(Rankings!$K589:$R589), "TBD")</f>
        <v>3.142857143</v>
      </c>
      <c r="G589" s="411">
        <f>IFERROR(_xlfn.STDEV.P(Rankings!$K589:$R589), "TBD")</f>
        <v>1.456862718</v>
      </c>
      <c r="H589" s="411">
        <f>IFERROR(AVERAGE(Rankings!$K589:$M589, Rankings!$O589:$R589), "TBD")</f>
        <v>3.333333333</v>
      </c>
      <c r="I589" s="438" t="s">
        <v>1472</v>
      </c>
      <c r="J589" s="438" t="s">
        <v>1473</v>
      </c>
      <c r="K589" s="430">
        <v>3.0</v>
      </c>
      <c r="L589" s="431">
        <v>5.0</v>
      </c>
      <c r="M589" s="431">
        <v>5.0</v>
      </c>
      <c r="N589" s="431">
        <v>2.0</v>
      </c>
      <c r="O589" s="431">
        <v>1.0</v>
      </c>
      <c r="P589" s="431">
        <v>4.0</v>
      </c>
      <c r="Q589" s="464">
        <v>2.0</v>
      </c>
      <c r="R589" s="465"/>
      <c r="S589" s="466">
        <f>IF(ISTEXT($V589), "TBD", RANK(V589,$V586:$V592))</f>
        <v>3</v>
      </c>
      <c r="T589" s="467">
        <v>1.0</v>
      </c>
      <c r="U589" s="468" t="b">
        <f>Rankings!$S589=Rankings!$T589</f>
        <v>0</v>
      </c>
      <c r="V589" s="461">
        <f>IF(ISTEXT(Rankings!F589), "TBD", (RANK($F589,$F586:$F592) + IF(ISTEXT($H589), 0, (RANK($H589,$H586:$H592)/10)) + (RANK($G589,$G586:$G592)/100)))</f>
        <v>5.56</v>
      </c>
      <c r="W589" s="153"/>
    </row>
    <row r="590" ht="15.75" customHeight="1">
      <c r="A590" s="134"/>
      <c r="B590" s="134"/>
      <c r="C590" s="134"/>
      <c r="D590" s="412">
        <f t="shared" ref="D590:D592" si="86">D586</f>
        <v>46106</v>
      </c>
      <c r="E590" s="471" t="str">
        <f>$O$1</f>
        <v>TTAC</v>
      </c>
      <c r="F590" s="414">
        <f>IFERROR(AVERAGE(Rankings!$K590:$R590), "TBD")</f>
        <v>5.571428571</v>
      </c>
      <c r="G590" s="414">
        <f>IFERROR(_xlfn.STDEV.P(Rankings!$K590:$R590), "TBD")</f>
        <v>1.498298355</v>
      </c>
      <c r="H590" s="414">
        <f>IFERROR(AVERAGE(Rankings!$K590:$N590, Rankings!$P590:$R590), "TBD")</f>
        <v>5.833333333</v>
      </c>
      <c r="I590" s="439" t="s">
        <v>1474</v>
      </c>
      <c r="J590" s="439" t="s">
        <v>1475</v>
      </c>
      <c r="K590" s="430">
        <v>6.0</v>
      </c>
      <c r="L590" s="431">
        <v>7.0</v>
      </c>
      <c r="M590" s="431">
        <v>7.0</v>
      </c>
      <c r="N590" s="431">
        <v>7.0</v>
      </c>
      <c r="O590" s="431">
        <v>4.0</v>
      </c>
      <c r="P590" s="431">
        <v>5.0</v>
      </c>
      <c r="Q590" s="464">
        <v>3.0</v>
      </c>
      <c r="R590" s="465"/>
      <c r="S590" s="466">
        <f>IF(ISTEXT($V590), "TBD", RANK(V590,$V586:$V592))</f>
        <v>7</v>
      </c>
      <c r="T590" s="467">
        <v>1.0</v>
      </c>
      <c r="U590" s="468" t="b">
        <f>Rankings!$S590=Rankings!$T590</f>
        <v>0</v>
      </c>
      <c r="V590" s="461">
        <f>IF(ISTEXT(Rankings!F590), "TBD", (RANK($F590,$F586:$F592) + IF(ISTEXT($H590), 0, (RANK($H590,$H586:$H592)/10)) + (RANK($G590,$G586:$G592)/100)))</f>
        <v>1.25</v>
      </c>
      <c r="W590" s="153"/>
    </row>
    <row r="591" ht="15.75" customHeight="1">
      <c r="A591" s="134"/>
      <c r="B591" s="134"/>
      <c r="C591" s="134"/>
      <c r="D591" s="415">
        <f t="shared" si="86"/>
        <v>46106</v>
      </c>
      <c r="E591" s="472" t="str">
        <f>$P$1</f>
        <v>Weston</v>
      </c>
      <c r="F591" s="418">
        <f>IFERROR(AVERAGE(Rankings!$K591:$R591), "TBD")</f>
        <v>2.714285714</v>
      </c>
      <c r="G591" s="418">
        <f>IFERROR(_xlfn.STDEV.P(Rankings!$K591:$R591), "TBD")</f>
        <v>2.050385728</v>
      </c>
      <c r="H591" s="418">
        <f>IFERROR(AVERAGE(Rankings!$K591:$O591, Rankings!$Q591:$R591), "TBD")</f>
        <v>3</v>
      </c>
      <c r="I591" s="440" t="s">
        <v>479</v>
      </c>
      <c r="J591" s="440" t="s">
        <v>1476</v>
      </c>
      <c r="K591" s="430">
        <v>4.0</v>
      </c>
      <c r="L591" s="431">
        <v>1.0</v>
      </c>
      <c r="M591" s="431">
        <v>1.0</v>
      </c>
      <c r="N591" s="431">
        <v>1.0</v>
      </c>
      <c r="O591" s="431">
        <v>6.0</v>
      </c>
      <c r="P591" s="431">
        <v>1.0</v>
      </c>
      <c r="Q591" s="464">
        <v>5.0</v>
      </c>
      <c r="R591" s="465"/>
      <c r="S591" s="466">
        <f>IF(ISTEXT($V591), "TBD", RANK(V591,$V586:$V592))</f>
        <v>1</v>
      </c>
      <c r="T591" s="467">
        <v>1.0</v>
      </c>
      <c r="U591" s="468" t="b">
        <f>Rankings!$S591=Rankings!$T591</f>
        <v>1</v>
      </c>
      <c r="V591" s="461">
        <f>IF(ISTEXT(Rankings!F591), "TBD", (RANK($F591,$F586:$F592) + IF(ISTEXT($H591), 0, (RANK($H591,$H586:$H592)/10)) + (RANK($G591,$G586:$G592)/100)))</f>
        <v>7.71</v>
      </c>
      <c r="W591" s="153"/>
    </row>
    <row r="592" ht="15.75" customHeight="1">
      <c r="A592" s="189"/>
      <c r="B592" s="189"/>
      <c r="C592" s="189"/>
      <c r="D592" s="473">
        <f t="shared" si="86"/>
        <v>46106</v>
      </c>
      <c r="E592" s="131" t="str">
        <f>$Q$1</f>
        <v>Flocco</v>
      </c>
      <c r="F592" s="474">
        <f>IFERROR(AVERAGE(Rankings!$K592:$R592), "TBD")</f>
        <v>2.857142857</v>
      </c>
      <c r="G592" s="474">
        <f>IFERROR(_xlfn.STDEV.P(Rankings!$K592:$R592), "TBD")</f>
        <v>1.551825784</v>
      </c>
      <c r="H592" s="474">
        <f>IFERROR(AVERAGE(Rankings!$K592:$P592, Rankings!$R592), "TBD")</f>
        <v>3.166666667</v>
      </c>
      <c r="I592" s="475" t="s">
        <v>1477</v>
      </c>
      <c r="J592" s="475" t="s">
        <v>1478</v>
      </c>
      <c r="K592" s="430">
        <v>2.0</v>
      </c>
      <c r="L592" s="431">
        <v>2.0</v>
      </c>
      <c r="M592" s="431">
        <v>4.0</v>
      </c>
      <c r="N592" s="431">
        <v>6.0</v>
      </c>
      <c r="O592" s="431">
        <v>2.0</v>
      </c>
      <c r="P592" s="431">
        <v>3.0</v>
      </c>
      <c r="Q592" s="464">
        <v>1.0</v>
      </c>
      <c r="R592" s="465"/>
      <c r="S592" s="466">
        <f>IF(ISTEXT($V592), "TBD", RANK(V592,$V586:$V592))</f>
        <v>2</v>
      </c>
      <c r="T592" s="467">
        <v>1.0</v>
      </c>
      <c r="U592" s="468" t="b">
        <f>Rankings!$S592=Rankings!$T592</f>
        <v>0</v>
      </c>
      <c r="V592" s="461">
        <f>IF(ISTEXT(Rankings!F592), "TBD", (RANK($F592,$F586:$F592) + IF(ISTEXT($H592), 0, (RANK($H592,$H586:$H592)/10)) + (RANK($G592,$G586:$G592)/100)))</f>
        <v>6.64</v>
      </c>
      <c r="W592" s="208"/>
    </row>
    <row r="593" ht="15.75" customHeight="1">
      <c r="A593" s="103">
        <v>46108.0</v>
      </c>
      <c r="B593" s="453"/>
      <c r="C593" s="454" t="str">
        <f t="array" ref="C593">INDEX(Rankings!$E593:$E599, MATCH(1, (Rankings!$D593:$D599=$A593)*(Rankings!$U593:$U599=TRUE()), 0))</f>
        <v>Weston</v>
      </c>
      <c r="D593" s="398">
        <f>A593</f>
        <v>46108</v>
      </c>
      <c r="E593" s="455" t="str">
        <f>$K$1</f>
        <v>Logan</v>
      </c>
      <c r="F593" s="400">
        <f>IFERROR(AVERAGE(Rankings!$K593:$R593), "TBD")</f>
        <v>3.428571429</v>
      </c>
      <c r="G593" s="400">
        <f>IFERROR(_xlfn.STDEV.P(Rankings!$K593:$R593), "TBD")</f>
        <v>1.761261144</v>
      </c>
      <c r="H593" s="400">
        <f>IFERROR(AVERAGE(Rankings!$L593:$R593), "TBD")</f>
        <v>3.5</v>
      </c>
      <c r="I593" s="421" t="s">
        <v>1479</v>
      </c>
      <c r="J593" s="421" t="s">
        <v>1480</v>
      </c>
      <c r="K593" s="422">
        <v>3.0</v>
      </c>
      <c r="L593" s="423">
        <v>6.0</v>
      </c>
      <c r="M593" s="423">
        <v>5.0</v>
      </c>
      <c r="N593" s="423">
        <v>5.0</v>
      </c>
      <c r="O593" s="423">
        <v>2.0</v>
      </c>
      <c r="P593" s="423">
        <v>2.0</v>
      </c>
      <c r="Q593" s="456">
        <v>1.0</v>
      </c>
      <c r="R593" s="457"/>
      <c r="S593" s="458">
        <f>IF(ISTEXT($V593), "TBD", RANK(V593,$V593:$V599))</f>
        <v>2</v>
      </c>
      <c r="T593" s="459">
        <v>1.0</v>
      </c>
      <c r="U593" s="460" t="b">
        <f>Rankings!$S593=Rankings!$T593</f>
        <v>0</v>
      </c>
      <c r="V593" s="461">
        <f>IF(ISTEXT(Rankings!F593), "TBD", (RANK($F593,$F593:$F599) + IF(ISTEXT($H593), 0, (RANK($H593,$H593:$H599)/10)) + (RANK($G593,$G593:$G599)/100)))</f>
        <v>5.63</v>
      </c>
      <c r="W593" s="462"/>
    </row>
    <row r="594" ht="15.75" customHeight="1">
      <c r="A594" s="134"/>
      <c r="B594" s="134"/>
      <c r="C594" s="134"/>
      <c r="D594" s="402">
        <f>D593</f>
        <v>46108</v>
      </c>
      <c r="E594" s="463" t="str">
        <f>$L$1</f>
        <v>Parker</v>
      </c>
      <c r="F594" s="404">
        <f>IFERROR(AVERAGE(Rankings!$K594:$R594), "TBD")</f>
        <v>4.142857143</v>
      </c>
      <c r="G594" s="404">
        <f>IFERROR(_xlfn.STDEV.P(Rankings!$K594:$R594), "TBD")</f>
        <v>1.641303613</v>
      </c>
      <c r="H594" s="404">
        <f>IFERROR(AVERAGE(Rankings!$K594, Rankings!$M594:$R594), "TBD")</f>
        <v>4.333333333</v>
      </c>
      <c r="I594" s="429" t="s">
        <v>1481</v>
      </c>
      <c r="J594" s="429" t="s">
        <v>1482</v>
      </c>
      <c r="K594" s="430">
        <v>7.0</v>
      </c>
      <c r="L594" s="431">
        <v>3.0</v>
      </c>
      <c r="M594" s="431">
        <v>4.0</v>
      </c>
      <c r="N594" s="431">
        <v>2.0</v>
      </c>
      <c r="O594" s="431">
        <v>4.0</v>
      </c>
      <c r="P594" s="431">
        <v>3.0</v>
      </c>
      <c r="Q594" s="464">
        <v>6.0</v>
      </c>
      <c r="R594" s="465"/>
      <c r="S594" s="466">
        <f>IF(ISTEXT($V594), "TBD", RANK(V594,$V593:$V599))</f>
        <v>5</v>
      </c>
      <c r="T594" s="467">
        <v>1.0</v>
      </c>
      <c r="U594" s="468" t="b">
        <f>Rankings!$S594=Rankings!$T594</f>
        <v>0</v>
      </c>
      <c r="V594" s="461">
        <f>IF(ISTEXT(Rankings!F594), "TBD", (RANK($F594,$F593:$F599) + IF(ISTEXT($H594), 0, (RANK($H594,$H593:$H599)/10)) + (RANK($G594,$G593:$G599)/100)))</f>
        <v>3.34</v>
      </c>
      <c r="W594" s="153"/>
    </row>
    <row r="595" ht="15.75" customHeight="1">
      <c r="A595" s="134"/>
      <c r="B595" s="134"/>
      <c r="C595" s="134"/>
      <c r="D595" s="406">
        <f>D593</f>
        <v>46108</v>
      </c>
      <c r="E595" s="469" t="str">
        <f>$M$1</f>
        <v>Giacomo</v>
      </c>
      <c r="F595" s="408">
        <f>IFERROR(AVERAGE(Rankings!$K595:$R595), "TBD")</f>
        <v>3.571428571</v>
      </c>
      <c r="G595" s="408">
        <f>IFERROR(_xlfn.STDEV.P(Rankings!$K595:$R595), "TBD")</f>
        <v>1.498298355</v>
      </c>
      <c r="H595" s="408">
        <f>IFERROR(AVERAGE(Rankings!$K595:$L595, Rankings!$N595:$R595), "TBD")</f>
        <v>4</v>
      </c>
      <c r="I595" s="437" t="s">
        <v>1483</v>
      </c>
      <c r="J595" s="437" t="s">
        <v>1484</v>
      </c>
      <c r="K595" s="430">
        <v>2.0</v>
      </c>
      <c r="L595" s="431">
        <v>4.0</v>
      </c>
      <c r="M595" s="431">
        <v>1.0</v>
      </c>
      <c r="N595" s="431">
        <v>3.0</v>
      </c>
      <c r="O595" s="431">
        <v>5.0</v>
      </c>
      <c r="P595" s="431">
        <v>5.0</v>
      </c>
      <c r="Q595" s="464">
        <v>5.0</v>
      </c>
      <c r="R595" s="465"/>
      <c r="S595" s="466">
        <f>IF(ISTEXT($V595), "TBD", RANK(V595,$V593:$V599))</f>
        <v>4</v>
      </c>
      <c r="T595" s="467">
        <v>1.0</v>
      </c>
      <c r="U595" s="468" t="b">
        <f>Rankings!$S595=Rankings!$T595</f>
        <v>0</v>
      </c>
      <c r="V595" s="461">
        <f>IF(ISTEXT(Rankings!F595), "TBD", (RANK($F595,$F593:$F599) + IF(ISTEXT($H595), 0, (RANK($H595,$H593:$H599)/10)) + (RANK($G595,$G593:$G599)/100)))</f>
        <v>4.45</v>
      </c>
      <c r="W595" s="153"/>
    </row>
    <row r="596" ht="15.75" customHeight="1">
      <c r="A596" s="134"/>
      <c r="B596" s="134"/>
      <c r="C596" s="134"/>
      <c r="D596" s="409">
        <f>D593</f>
        <v>46108</v>
      </c>
      <c r="E596" s="470" t="str">
        <f>$N$1</f>
        <v>Rosey</v>
      </c>
      <c r="F596" s="411">
        <f>IFERROR(AVERAGE(Rankings!$K596:$R596), "TBD")</f>
        <v>3.428571429</v>
      </c>
      <c r="G596" s="411">
        <f>IFERROR(_xlfn.STDEV.P(Rankings!$K596:$R596), "TBD")</f>
        <v>1.916629695</v>
      </c>
      <c r="H596" s="411">
        <f>IFERROR(AVERAGE(Rankings!$K596:$M596, Rankings!$O596:$R596), "TBD")</f>
        <v>3.833333333</v>
      </c>
      <c r="I596" s="438" t="s">
        <v>1485</v>
      </c>
      <c r="J596" s="438" t="s">
        <v>306</v>
      </c>
      <c r="K596" s="430">
        <v>6.0</v>
      </c>
      <c r="L596" s="431">
        <v>1.0</v>
      </c>
      <c r="M596" s="431">
        <v>3.0</v>
      </c>
      <c r="N596" s="431">
        <v>1.0</v>
      </c>
      <c r="O596" s="431">
        <v>6.0</v>
      </c>
      <c r="P596" s="431">
        <v>4.0</v>
      </c>
      <c r="Q596" s="464">
        <v>3.0</v>
      </c>
      <c r="R596" s="465"/>
      <c r="S596" s="466">
        <f>IF(ISTEXT($V596), "TBD", RANK(V596,$V593:$V599))</f>
        <v>3</v>
      </c>
      <c r="T596" s="467">
        <v>1.0</v>
      </c>
      <c r="U596" s="468" t="b">
        <f>Rankings!$S596=Rankings!$T596</f>
        <v>0</v>
      </c>
      <c r="V596" s="461">
        <f>IF(ISTEXT(Rankings!F596), "TBD", (RANK($F596,$F593:$F599) + IF(ISTEXT($H596), 0, (RANK($H596,$H593:$H599)/10)) + (RANK($G596,$G593:$G599)/100)))</f>
        <v>5.52</v>
      </c>
      <c r="W596" s="153"/>
    </row>
    <row r="597" ht="15.75" customHeight="1">
      <c r="A597" s="134"/>
      <c r="B597" s="134"/>
      <c r="C597" s="134"/>
      <c r="D597" s="412">
        <f t="shared" ref="D597:D599" si="87">D593</f>
        <v>46108</v>
      </c>
      <c r="E597" s="471" t="str">
        <f>$O$1</f>
        <v>TTAC</v>
      </c>
      <c r="F597" s="414">
        <f>IFERROR(AVERAGE(Rankings!$K597:$R597), "TBD")</f>
        <v>6.571428571</v>
      </c>
      <c r="G597" s="414">
        <f>IFERROR(_xlfn.STDEV.P(Rankings!$K597:$R597), "TBD")</f>
        <v>0.7284313591</v>
      </c>
      <c r="H597" s="414">
        <f>IFERROR(AVERAGE(Rankings!$K597:$N597, Rankings!$P597:$R597), "TBD")</f>
        <v>6.5</v>
      </c>
      <c r="I597" s="439" t="s">
        <v>1486</v>
      </c>
      <c r="J597" s="439" t="s">
        <v>1487</v>
      </c>
      <c r="K597" s="430">
        <v>5.0</v>
      </c>
      <c r="L597" s="431">
        <v>7.0</v>
      </c>
      <c r="M597" s="431">
        <v>6.0</v>
      </c>
      <c r="N597" s="431">
        <v>7.0</v>
      </c>
      <c r="O597" s="431">
        <v>7.0</v>
      </c>
      <c r="P597" s="431">
        <v>7.0</v>
      </c>
      <c r="Q597" s="464">
        <v>7.0</v>
      </c>
      <c r="R597" s="465"/>
      <c r="S597" s="466">
        <f>IF(ISTEXT($V597), "TBD", RANK(V597,$V593:$V599))</f>
        <v>7</v>
      </c>
      <c r="T597" s="467">
        <v>1.0</v>
      </c>
      <c r="U597" s="468" t="b">
        <f>Rankings!$S597=Rankings!$T597</f>
        <v>0</v>
      </c>
      <c r="V597" s="461">
        <f>IF(ISTEXT(Rankings!F597), "TBD", (RANK($F597,$F593:$F599) + IF(ISTEXT($H597), 0, (RANK($H597,$H593:$H599)/10)) + (RANK($G597,$G593:$G599)/100)))</f>
        <v>1.17</v>
      </c>
      <c r="W597" s="153"/>
    </row>
    <row r="598" ht="15.75" customHeight="1">
      <c r="A598" s="134"/>
      <c r="B598" s="134"/>
      <c r="C598" s="134"/>
      <c r="D598" s="415">
        <f t="shared" si="87"/>
        <v>46108</v>
      </c>
      <c r="E598" s="472" t="str">
        <f>$P$1</f>
        <v>Weston</v>
      </c>
      <c r="F598" s="418">
        <f>IFERROR(AVERAGE(Rankings!$K598:$R598), "TBD")</f>
        <v>2.428571429</v>
      </c>
      <c r="G598" s="418">
        <f>IFERROR(_xlfn.STDEV.P(Rankings!$K598:$R598), "TBD")</f>
        <v>1.178030179</v>
      </c>
      <c r="H598" s="418">
        <f>IFERROR(AVERAGE(Rankings!$K598:$O598, Rankings!$Q598:$R598), "TBD")</f>
        <v>2.666666667</v>
      </c>
      <c r="I598" s="440" t="s">
        <v>473</v>
      </c>
      <c r="J598" s="478" t="s">
        <v>1488</v>
      </c>
      <c r="K598" s="430">
        <v>1.0</v>
      </c>
      <c r="L598" s="431">
        <v>2.0</v>
      </c>
      <c r="M598" s="431">
        <v>2.0</v>
      </c>
      <c r="N598" s="431">
        <v>4.0</v>
      </c>
      <c r="O598" s="431">
        <v>3.0</v>
      </c>
      <c r="P598" s="431">
        <v>1.0</v>
      </c>
      <c r="Q598" s="464">
        <v>4.0</v>
      </c>
      <c r="R598" s="465"/>
      <c r="S598" s="466">
        <f>IF(ISTEXT($V598), "TBD", RANK(V598,$V593:$V599))</f>
        <v>1</v>
      </c>
      <c r="T598" s="467">
        <v>1.0</v>
      </c>
      <c r="U598" s="468" t="b">
        <f>Rankings!$S598=Rankings!$T598</f>
        <v>1</v>
      </c>
      <c r="V598" s="461">
        <f>IF(ISTEXT(Rankings!F598), "TBD", (RANK($F598,$F593:$F599) + IF(ISTEXT($H598), 0, (RANK($H598,$H593:$H599)/10)) + (RANK($G598,$G593:$G599)/100)))</f>
        <v>7.76</v>
      </c>
      <c r="W598" s="153"/>
    </row>
    <row r="599" ht="15.75" customHeight="1">
      <c r="A599" s="189"/>
      <c r="B599" s="189"/>
      <c r="C599" s="189"/>
      <c r="D599" s="473">
        <f t="shared" si="87"/>
        <v>46108</v>
      </c>
      <c r="E599" s="131" t="str">
        <f>$Q$1</f>
        <v>Flocco</v>
      </c>
      <c r="F599" s="474">
        <f>IFERROR(AVERAGE(Rankings!$K599:$R599), "TBD")</f>
        <v>4.428571429</v>
      </c>
      <c r="G599" s="474">
        <f>IFERROR(_xlfn.STDEV.P(Rankings!$K599:$R599), "TBD")</f>
        <v>2.060315015</v>
      </c>
      <c r="H599" s="474">
        <f>IFERROR(AVERAGE(Rankings!$K599:$P599, Rankings!$R599), "TBD")</f>
        <v>4.833333333</v>
      </c>
      <c r="I599" s="475" t="s">
        <v>1489</v>
      </c>
      <c r="J599" s="475" t="s">
        <v>1490</v>
      </c>
      <c r="K599" s="430">
        <v>4.0</v>
      </c>
      <c r="L599" s="431">
        <v>5.0</v>
      </c>
      <c r="M599" s="431">
        <v>7.0</v>
      </c>
      <c r="N599" s="431">
        <v>6.0</v>
      </c>
      <c r="O599" s="431">
        <v>1.0</v>
      </c>
      <c r="P599" s="431">
        <v>6.0</v>
      </c>
      <c r="Q599" s="464">
        <v>2.0</v>
      </c>
      <c r="R599" s="465"/>
      <c r="S599" s="466">
        <f>IF(ISTEXT($V599), "TBD", RANK(V599,$V593:$V599))</f>
        <v>6</v>
      </c>
      <c r="T599" s="467">
        <v>1.0</v>
      </c>
      <c r="U599" s="468" t="b">
        <f>Rankings!$S599=Rankings!$T599</f>
        <v>0</v>
      </c>
      <c r="V599" s="461">
        <f>IF(ISTEXT(Rankings!F599), "TBD", (RANK($F599,$F593:$F599) + IF(ISTEXT($H599), 0, (RANK($H599,$H593:$H599)/10)) + (RANK($G599,$G593:$G599)/100)))</f>
        <v>2.21</v>
      </c>
      <c r="W599" s="208"/>
    </row>
    <row r="600" ht="15.75" customHeight="1">
      <c r="A600" s="103">
        <v>46111.0</v>
      </c>
      <c r="B600" s="453"/>
      <c r="C600" s="454" t="str">
        <f t="array" ref="C600">INDEX(Rankings!$E600:$E606, MATCH(1, (Rankings!$D600:$D606=$A600)*(Rankings!$U600:$U606=TRUE()), 0))</f>
        <v>Weston</v>
      </c>
      <c r="D600" s="398">
        <f>A600</f>
        <v>46111</v>
      </c>
      <c r="E600" s="455" t="str">
        <f>$K$1</f>
        <v>Logan</v>
      </c>
      <c r="F600" s="400">
        <f>IFERROR(AVERAGE(Rankings!$K600:$R600), "TBD")</f>
        <v>5.571428571</v>
      </c>
      <c r="G600" s="400">
        <f>IFERROR(_xlfn.STDEV.P(Rankings!$K600:$R600), "TBD")</f>
        <v>1.590789818</v>
      </c>
      <c r="H600" s="400">
        <f>IFERROR(AVERAGE(Rankings!$L600:$R600), "TBD")</f>
        <v>6.166666667</v>
      </c>
      <c r="I600" s="421" t="s">
        <v>1491</v>
      </c>
      <c r="J600" s="421" t="s">
        <v>1492</v>
      </c>
      <c r="K600" s="422">
        <v>2.0</v>
      </c>
      <c r="L600" s="423">
        <v>6.0</v>
      </c>
      <c r="M600" s="423">
        <v>6.0</v>
      </c>
      <c r="N600" s="423">
        <v>5.0</v>
      </c>
      <c r="O600" s="423">
        <v>7.0</v>
      </c>
      <c r="P600" s="423">
        <v>7.0</v>
      </c>
      <c r="Q600" s="456">
        <v>6.0</v>
      </c>
      <c r="R600" s="457"/>
      <c r="S600" s="458">
        <f>IF(ISTEXT($V600), "TBD", RANK(V600,$V600:$V606))</f>
        <v>6</v>
      </c>
      <c r="T600" s="459">
        <v>1.0</v>
      </c>
      <c r="U600" s="460" t="b">
        <f>Rankings!$S600=Rankings!$T600</f>
        <v>0</v>
      </c>
      <c r="V600" s="461">
        <f>IF(ISTEXT(Rankings!F600), "TBD", (RANK($F600,$F600:$F606) + IF(ISTEXT($H600), 0, (RANK($H600,$H600:$H606)/10)) + (RANK($G600,$G600:$G606)/100)))</f>
        <v>1.14</v>
      </c>
      <c r="W600" s="462"/>
    </row>
    <row r="601" ht="15.75" customHeight="1">
      <c r="A601" s="134"/>
      <c r="B601" s="134"/>
      <c r="C601" s="134"/>
      <c r="D601" s="402">
        <f>D600</f>
        <v>46111</v>
      </c>
      <c r="E601" s="463" t="str">
        <f>$L$1</f>
        <v>Parker</v>
      </c>
      <c r="F601" s="404">
        <f>IFERROR(AVERAGE(Rankings!$K601:$R601), "TBD")</f>
        <v>3.571428571</v>
      </c>
      <c r="G601" s="404">
        <f>IFERROR(_xlfn.STDEV.P(Rankings!$K601:$R601), "TBD")</f>
        <v>1.049781318</v>
      </c>
      <c r="H601" s="404">
        <f>IFERROR(AVERAGE(Rankings!$K601, Rankings!$M601:$R601), "TBD")</f>
        <v>3.666666667</v>
      </c>
      <c r="I601" s="429" t="s">
        <v>1493</v>
      </c>
      <c r="J601" s="429" t="s">
        <v>1494</v>
      </c>
      <c r="K601" s="430">
        <v>4.0</v>
      </c>
      <c r="L601" s="431">
        <v>3.0</v>
      </c>
      <c r="M601" s="431">
        <v>2.0</v>
      </c>
      <c r="N601" s="431">
        <v>3.0</v>
      </c>
      <c r="O601" s="431">
        <v>5.0</v>
      </c>
      <c r="P601" s="431">
        <v>3.0</v>
      </c>
      <c r="Q601" s="464">
        <v>5.0</v>
      </c>
      <c r="R601" s="465"/>
      <c r="S601" s="466">
        <f>IF(ISTEXT($V601), "TBD", RANK(V601,$V600:$V606))</f>
        <v>3</v>
      </c>
      <c r="T601" s="467">
        <v>1.0</v>
      </c>
      <c r="U601" s="468" t="b">
        <f>Rankings!$S601=Rankings!$T601</f>
        <v>0</v>
      </c>
      <c r="V601" s="461">
        <f>IF(ISTEXT(Rankings!F601), "TBD", (RANK($F601,$F600:$F606) + IF(ISTEXT($H601), 0, (RANK($H601,$H600:$H606)/10)) + (RANK($G601,$G600:$G606)/100)))</f>
        <v>5.57</v>
      </c>
      <c r="W601" s="153"/>
    </row>
    <row r="602" ht="15.75" customHeight="1">
      <c r="A602" s="134"/>
      <c r="B602" s="134"/>
      <c r="C602" s="134"/>
      <c r="D602" s="406">
        <f>D600</f>
        <v>46111</v>
      </c>
      <c r="E602" s="469" t="str">
        <f>$M$1</f>
        <v>Giacomo</v>
      </c>
      <c r="F602" s="408">
        <f>IFERROR(AVERAGE(Rankings!$K602:$R602), "TBD")</f>
        <v>4.285714286</v>
      </c>
      <c r="G602" s="408">
        <f>IFERROR(_xlfn.STDEV.P(Rankings!$K602:$R602), "TBD")</f>
        <v>2.373321104</v>
      </c>
      <c r="H602" s="408">
        <f>IFERROR(AVERAGE(Rankings!$K602:$L602, Rankings!$N602:$R602), "TBD")</f>
        <v>4.833333333</v>
      </c>
      <c r="I602" s="437" t="s">
        <v>1495</v>
      </c>
      <c r="J602" s="437" t="s">
        <v>1496</v>
      </c>
      <c r="K602" s="430">
        <v>7.0</v>
      </c>
      <c r="L602" s="431">
        <v>1.0</v>
      </c>
      <c r="M602" s="431">
        <v>1.0</v>
      </c>
      <c r="N602" s="431">
        <v>4.0</v>
      </c>
      <c r="O602" s="431">
        <v>6.0</v>
      </c>
      <c r="P602" s="431">
        <v>4.0</v>
      </c>
      <c r="Q602" s="464">
        <v>7.0</v>
      </c>
      <c r="R602" s="465"/>
      <c r="S602" s="466">
        <f>IF(ISTEXT($V602), "TBD", RANK(V602,$V600:$V606))</f>
        <v>5</v>
      </c>
      <c r="T602" s="467">
        <v>1.0</v>
      </c>
      <c r="U602" s="468" t="b">
        <f>Rankings!$S602=Rankings!$T602</f>
        <v>0</v>
      </c>
      <c r="V602" s="461">
        <f>IF(ISTEXT(Rankings!F602), "TBD", (RANK($F602,$F600:$F606) + IF(ISTEXT($H602), 0, (RANK($H602,$H600:$H606)/10)) + (RANK($G602,$G600:$G606)/100)))</f>
        <v>3.31</v>
      </c>
      <c r="W602" s="153"/>
    </row>
    <row r="603" ht="15.75" customHeight="1">
      <c r="A603" s="134"/>
      <c r="B603" s="134"/>
      <c r="C603" s="134"/>
      <c r="D603" s="409">
        <f>D600</f>
        <v>46111</v>
      </c>
      <c r="E603" s="470" t="str">
        <f>$N$1</f>
        <v>Rosey</v>
      </c>
      <c r="F603" s="411">
        <f>IFERROR(AVERAGE(Rankings!$K603:$R603), "TBD")</f>
        <v>2.714285714</v>
      </c>
      <c r="G603" s="411">
        <f>IFERROR(_xlfn.STDEV.P(Rankings!$K603:$R603), "TBD")</f>
        <v>1.160576915</v>
      </c>
      <c r="H603" s="411">
        <f>IFERROR(AVERAGE(Rankings!$K603:$M603, Rankings!$O603:$R603), "TBD")</f>
        <v>2.833333333</v>
      </c>
      <c r="I603" s="438" t="s">
        <v>1497</v>
      </c>
      <c r="J603" s="438" t="s">
        <v>148</v>
      </c>
      <c r="K603" s="430">
        <v>1.0</v>
      </c>
      <c r="L603" s="431">
        <v>5.0</v>
      </c>
      <c r="M603" s="431">
        <v>3.0</v>
      </c>
      <c r="N603" s="431">
        <v>2.0</v>
      </c>
      <c r="O603" s="431">
        <v>3.0</v>
      </c>
      <c r="P603" s="431">
        <v>2.0</v>
      </c>
      <c r="Q603" s="464">
        <v>3.0</v>
      </c>
      <c r="R603" s="465"/>
      <c r="S603" s="466">
        <f>IF(ISTEXT($V603), "TBD", RANK(V603,$V600:$V606))</f>
        <v>2</v>
      </c>
      <c r="T603" s="467">
        <v>1.0</v>
      </c>
      <c r="U603" s="468" t="b">
        <f>Rankings!$S603=Rankings!$T603</f>
        <v>0</v>
      </c>
      <c r="V603" s="461">
        <f>IF(ISTEXT(Rankings!F603), "TBD", (RANK($F603,$F600:$F606) + IF(ISTEXT($H603), 0, (RANK($H603,$H600:$H606)/10)) + (RANK($G603,$G600:$G606)/100)))</f>
        <v>6.66</v>
      </c>
      <c r="W603" s="153"/>
    </row>
    <row r="604" ht="15.75" customHeight="1">
      <c r="A604" s="134"/>
      <c r="B604" s="134"/>
      <c r="C604" s="134"/>
      <c r="D604" s="412">
        <f t="shared" ref="D604:D606" si="88">D600</f>
        <v>46111</v>
      </c>
      <c r="E604" s="471" t="str">
        <f>$O$1</f>
        <v>TTAC</v>
      </c>
      <c r="F604" s="414">
        <f>IFERROR(AVERAGE(Rankings!$K604:$R604), "TBD")</f>
        <v>5.571428571</v>
      </c>
      <c r="G604" s="414">
        <f>IFERROR(_xlfn.STDEV.P(Rankings!$K604:$R604), "TBD")</f>
        <v>1.761261144</v>
      </c>
      <c r="H604" s="414">
        <f>IFERROR(AVERAGE(Rankings!$K604:$N604, Rankings!$P604:$R604), "TBD")</f>
        <v>6.166666667</v>
      </c>
      <c r="I604" s="439" t="s">
        <v>1498</v>
      </c>
      <c r="J604" s="439" t="s">
        <v>1499</v>
      </c>
      <c r="K604" s="430">
        <v>6.0</v>
      </c>
      <c r="L604" s="431">
        <v>7.0</v>
      </c>
      <c r="M604" s="431">
        <v>7.0</v>
      </c>
      <c r="N604" s="431">
        <v>7.0</v>
      </c>
      <c r="O604" s="431">
        <v>2.0</v>
      </c>
      <c r="P604" s="431">
        <v>6.0</v>
      </c>
      <c r="Q604" s="464">
        <v>4.0</v>
      </c>
      <c r="R604" s="465"/>
      <c r="S604" s="466">
        <f>IF(ISTEXT($V604), "TBD", RANK(V604,$V600:$V606))</f>
        <v>7</v>
      </c>
      <c r="T604" s="467">
        <v>1.0</v>
      </c>
      <c r="U604" s="468" t="b">
        <f>Rankings!$S604=Rankings!$T604</f>
        <v>0</v>
      </c>
      <c r="V604" s="461">
        <f>IF(ISTEXT(Rankings!F604), "TBD", (RANK($F604,$F600:$F606) + IF(ISTEXT($H604), 0, (RANK($H604,$H600:$H606)/10)) + (RANK($G604,$G600:$G606)/100)))</f>
        <v>1.12</v>
      </c>
      <c r="W604" s="153"/>
    </row>
    <row r="605" ht="15.75" customHeight="1">
      <c r="A605" s="134"/>
      <c r="B605" s="134"/>
      <c r="C605" s="134"/>
      <c r="D605" s="415">
        <f t="shared" si="88"/>
        <v>46111</v>
      </c>
      <c r="E605" s="472" t="str">
        <f>$P$1</f>
        <v>Weston</v>
      </c>
      <c r="F605" s="418">
        <f>IFERROR(AVERAGE(Rankings!$K605:$R605), "TBD")</f>
        <v>2.571428571</v>
      </c>
      <c r="G605" s="418">
        <f>IFERROR(_xlfn.STDEV.P(Rankings!$K605:$R605), "TBD")</f>
        <v>1.590789818</v>
      </c>
      <c r="H605" s="418">
        <f>IFERROR(AVERAGE(Rankings!$K605:$O605, Rankings!$Q605:$R605), "TBD")</f>
        <v>2.833333333</v>
      </c>
      <c r="I605" s="440" t="s">
        <v>474</v>
      </c>
      <c r="J605" s="440" t="s">
        <v>1500</v>
      </c>
      <c r="K605" s="430">
        <v>5.0</v>
      </c>
      <c r="L605" s="431">
        <v>2.0</v>
      </c>
      <c r="M605" s="431">
        <v>4.0</v>
      </c>
      <c r="N605" s="431">
        <v>1.0</v>
      </c>
      <c r="O605" s="431">
        <v>4.0</v>
      </c>
      <c r="P605" s="431">
        <v>1.0</v>
      </c>
      <c r="Q605" s="464">
        <v>1.0</v>
      </c>
      <c r="R605" s="465"/>
      <c r="S605" s="466">
        <f>IF(ISTEXT($V605), "TBD", RANK(V605,$V600:$V606))</f>
        <v>1</v>
      </c>
      <c r="T605" s="467">
        <v>1.0</v>
      </c>
      <c r="U605" s="468" t="b">
        <f>Rankings!$S605=Rankings!$T605</f>
        <v>1</v>
      </c>
      <c r="V605" s="461">
        <f>IF(ISTEXT(Rankings!F605), "TBD", (RANK($F605,$F600:$F606) + IF(ISTEXT($H605), 0, (RANK($H605,$H600:$H606)/10)) + (RANK($G605,$G600:$G606)/100)))</f>
        <v>7.64</v>
      </c>
      <c r="W605" s="153"/>
    </row>
    <row r="606" ht="15.75" customHeight="1">
      <c r="A606" s="189"/>
      <c r="B606" s="189"/>
      <c r="C606" s="189"/>
      <c r="D606" s="473">
        <f t="shared" si="88"/>
        <v>46111</v>
      </c>
      <c r="E606" s="131" t="str">
        <f>$Q$1</f>
        <v>Flocco</v>
      </c>
      <c r="F606" s="474">
        <f>IFERROR(AVERAGE(Rankings!$K606:$R606), "TBD")</f>
        <v>3.714285714</v>
      </c>
      <c r="G606" s="474">
        <f>IFERROR(_xlfn.STDEV.P(Rankings!$K606:$R606), "TBD")</f>
        <v>1.665986256</v>
      </c>
      <c r="H606" s="474">
        <f>IFERROR(AVERAGE(Rankings!$K606:$P606, Rankings!$R606), "TBD")</f>
        <v>4</v>
      </c>
      <c r="I606" s="475" t="s">
        <v>1501</v>
      </c>
      <c r="J606" s="475" t="s">
        <v>1502</v>
      </c>
      <c r="K606" s="430">
        <v>3.0</v>
      </c>
      <c r="L606" s="431">
        <v>4.0</v>
      </c>
      <c r="M606" s="431">
        <v>5.0</v>
      </c>
      <c r="N606" s="431">
        <v>6.0</v>
      </c>
      <c r="O606" s="431">
        <v>1.0</v>
      </c>
      <c r="P606" s="431">
        <v>5.0</v>
      </c>
      <c r="Q606" s="464">
        <v>2.0</v>
      </c>
      <c r="R606" s="465"/>
      <c r="S606" s="466">
        <f>IF(ISTEXT($V606), "TBD", RANK(V606,$V600:$V606))</f>
        <v>4</v>
      </c>
      <c r="T606" s="467">
        <v>1.0</v>
      </c>
      <c r="U606" s="468" t="b">
        <f>Rankings!$S606=Rankings!$T606</f>
        <v>0</v>
      </c>
      <c r="V606" s="461">
        <f>IF(ISTEXT(Rankings!F606), "TBD", (RANK($F606,$F600:$F606) + IF(ISTEXT($H606), 0, (RANK($H606,$H600:$H606)/10)) + (RANK($G606,$G600:$G606)/100)))</f>
        <v>4.43</v>
      </c>
      <c r="W606" s="208"/>
    </row>
    <row r="607" ht="15.75" customHeight="1">
      <c r="A607" s="103">
        <v>46113.0</v>
      </c>
      <c r="B607" s="453"/>
      <c r="C607" s="454" t="str">
        <f t="array" ref="C607">INDEX(Rankings!$E607:$E613, MATCH(1, (Rankings!$D607:$D613=$A607)*(Rankings!$U607:$U613=TRUE()), 0))</f>
        <v>TTAC</v>
      </c>
      <c r="D607" s="398">
        <f>A607</f>
        <v>46113</v>
      </c>
      <c r="E607" s="455" t="str">
        <f>$K$1</f>
        <v>Logan</v>
      </c>
      <c r="F607" s="400">
        <f>IFERROR(AVERAGE(Rankings!$K607:$R607), "TBD")</f>
        <v>6.285714286</v>
      </c>
      <c r="G607" s="400">
        <f>IFERROR(_xlfn.STDEV.P(Rankings!$K607:$R607), "TBD")</f>
        <v>1.385051388</v>
      </c>
      <c r="H607" s="400">
        <f>IFERROR(AVERAGE(Rankings!$L607:$R607), "TBD")</f>
        <v>6.166666667</v>
      </c>
      <c r="I607" s="421" t="s">
        <v>1503</v>
      </c>
      <c r="J607" s="421" t="s">
        <v>1504</v>
      </c>
      <c r="K607" s="422">
        <v>7.0</v>
      </c>
      <c r="L607" s="423">
        <v>7.0</v>
      </c>
      <c r="M607" s="423">
        <v>3.0</v>
      </c>
      <c r="N607" s="423">
        <v>7.0</v>
      </c>
      <c r="O607" s="423">
        <v>7.0</v>
      </c>
      <c r="P607" s="423">
        <v>6.0</v>
      </c>
      <c r="Q607" s="456">
        <v>7.0</v>
      </c>
      <c r="R607" s="457"/>
      <c r="S607" s="458">
        <f>IF(ISTEXT($V607), "TBD", RANK(V607,$V607:$V613))</f>
        <v>7</v>
      </c>
      <c r="T607" s="459">
        <v>1.0</v>
      </c>
      <c r="U607" s="460" t="b">
        <f>Rankings!$S607=Rankings!$T607</f>
        <v>0</v>
      </c>
      <c r="V607" s="461">
        <f>IF(ISTEXT(Rankings!F607), "TBD", (RANK($F607,$F607:$F613) + IF(ISTEXT($H607), 0, (RANK($H607,$H607:$H613)/10)) + (RANK($G607,$G607:$G613)/100)))</f>
        <v>1.17</v>
      </c>
      <c r="W607" s="462"/>
    </row>
    <row r="608" ht="15.75" customHeight="1">
      <c r="A608" s="134"/>
      <c r="B608" s="134"/>
      <c r="C608" s="134"/>
      <c r="D608" s="402">
        <f>D607</f>
        <v>46113</v>
      </c>
      <c r="E608" s="463" t="str">
        <f>$L$1</f>
        <v>Parker</v>
      </c>
      <c r="F608" s="404">
        <f>IFERROR(AVERAGE(Rankings!$K608:$R608), "TBD")</f>
        <v>4.142857143</v>
      </c>
      <c r="G608" s="404">
        <f>IFERROR(_xlfn.STDEV.P(Rankings!$K608:$R608), "TBD")</f>
        <v>1.958758457</v>
      </c>
      <c r="H608" s="404">
        <f>IFERROR(AVERAGE(Rankings!$K608, Rankings!$M608:$R608), "TBD")</f>
        <v>4.5</v>
      </c>
      <c r="I608" s="429" t="s">
        <v>1505</v>
      </c>
      <c r="J608" s="429" t="s">
        <v>1506</v>
      </c>
      <c r="K608" s="430">
        <v>1.0</v>
      </c>
      <c r="L608" s="431">
        <v>2.0</v>
      </c>
      <c r="M608" s="431">
        <v>4.0</v>
      </c>
      <c r="N608" s="431">
        <v>5.0</v>
      </c>
      <c r="O608" s="431">
        <v>4.0</v>
      </c>
      <c r="P608" s="431">
        <v>7.0</v>
      </c>
      <c r="Q608" s="464">
        <v>6.0</v>
      </c>
      <c r="R608" s="465"/>
      <c r="S608" s="466">
        <f>IF(ISTEXT($V608), "TBD", RANK(V608,$V607:$V613))</f>
        <v>4</v>
      </c>
      <c r="T608" s="467">
        <v>1.0</v>
      </c>
      <c r="U608" s="468" t="b">
        <f>Rankings!$S608=Rankings!$T608</f>
        <v>0</v>
      </c>
      <c r="V608" s="461">
        <f>IF(ISTEXT(Rankings!F608), "TBD", (RANK($F608,$F607:$F613) + IF(ISTEXT($H608), 0, (RANK($H608,$H607:$H613)/10)) + (RANK($G608,$G607:$G613)/100)))</f>
        <v>3.42</v>
      </c>
      <c r="W608" s="153"/>
    </row>
    <row r="609" ht="15.75" customHeight="1">
      <c r="A609" s="134"/>
      <c r="B609" s="134"/>
      <c r="C609" s="134"/>
      <c r="D609" s="406">
        <f>D607</f>
        <v>46113</v>
      </c>
      <c r="E609" s="469" t="str">
        <f>$M$1</f>
        <v>Giacomo</v>
      </c>
      <c r="F609" s="408">
        <f>IFERROR(AVERAGE(Rankings!$K609:$R609), "TBD")</f>
        <v>3</v>
      </c>
      <c r="G609" s="408">
        <f>IFERROR(_xlfn.STDEV.P(Rankings!$K609:$R609), "TBD")</f>
        <v>1.511857892</v>
      </c>
      <c r="H609" s="408">
        <f>IFERROR(AVERAGE(Rankings!$K609:$L609, Rankings!$N609:$R609), "TBD")</f>
        <v>3.333333333</v>
      </c>
      <c r="I609" s="437" t="s">
        <v>1507</v>
      </c>
      <c r="J609" s="437" t="s">
        <v>1508</v>
      </c>
      <c r="K609" s="430">
        <v>4.0</v>
      </c>
      <c r="L609" s="431">
        <v>3.0</v>
      </c>
      <c r="M609" s="431">
        <v>1.0</v>
      </c>
      <c r="N609" s="431">
        <v>6.0</v>
      </c>
      <c r="O609" s="431">
        <v>3.0</v>
      </c>
      <c r="P609" s="431">
        <v>2.0</v>
      </c>
      <c r="Q609" s="464">
        <v>2.0</v>
      </c>
      <c r="R609" s="465"/>
      <c r="S609" s="466">
        <f>IF(ISTEXT($V609), "TBD", RANK(V609,$V607:$V613))</f>
        <v>2</v>
      </c>
      <c r="T609" s="467">
        <v>1.0</v>
      </c>
      <c r="U609" s="468" t="b">
        <f>Rankings!$S609=Rankings!$T609</f>
        <v>0</v>
      </c>
      <c r="V609" s="461">
        <f>IF(ISTEXT(Rankings!F609), "TBD", (RANK($F609,$F607:$F613) + IF(ISTEXT($H609), 0, (RANK($H609,$H607:$H613)/10)) + (RANK($G609,$G607:$G613)/100)))</f>
        <v>6.65</v>
      </c>
      <c r="W609" s="153"/>
    </row>
    <row r="610" ht="15.75" customHeight="1">
      <c r="A610" s="134"/>
      <c r="B610" s="134"/>
      <c r="C610" s="134"/>
      <c r="D610" s="409">
        <f>D607</f>
        <v>46113</v>
      </c>
      <c r="E610" s="470" t="str">
        <f>$N$1</f>
        <v>Rosey</v>
      </c>
      <c r="F610" s="411">
        <f>IFERROR(AVERAGE(Rankings!$K610:$R610), "TBD")</f>
        <v>4.142857143</v>
      </c>
      <c r="G610" s="411">
        <f>IFERROR(_xlfn.STDEV.P(Rankings!$K610:$R610), "TBD")</f>
        <v>1.641303613</v>
      </c>
      <c r="H610" s="411">
        <f>IFERROR(AVERAGE(Rankings!$K610:$M610, Rankings!$O610:$R610), "TBD")</f>
        <v>4.666666667</v>
      </c>
      <c r="I610" s="438" t="s">
        <v>1509</v>
      </c>
      <c r="J610" s="438" t="s">
        <v>1510</v>
      </c>
      <c r="K610" s="430">
        <v>3.0</v>
      </c>
      <c r="L610" s="431">
        <v>4.0</v>
      </c>
      <c r="M610" s="431">
        <v>6.0</v>
      </c>
      <c r="N610" s="431">
        <v>1.0</v>
      </c>
      <c r="O610" s="431">
        <v>6.0</v>
      </c>
      <c r="P610" s="431">
        <v>5.0</v>
      </c>
      <c r="Q610" s="464">
        <v>4.0</v>
      </c>
      <c r="R610" s="465"/>
      <c r="S610" s="466">
        <f>IF(ISTEXT($V610), "TBD", RANK(V610,$V607:$V613))</f>
        <v>5</v>
      </c>
      <c r="T610" s="467">
        <v>1.0</v>
      </c>
      <c r="U610" s="479" t="s">
        <v>1511</v>
      </c>
      <c r="V610" s="461">
        <f>IF(ISTEXT(Rankings!F610), "TBD", (RANK($F610,$F607:$F613) + IF(ISTEXT($H610), 0, (RANK($H610,$H607:$H613)/10)) + (RANK($G610,$G607:$G613)/100)))</f>
        <v>3.24</v>
      </c>
      <c r="W610" s="153"/>
    </row>
    <row r="611" ht="15.75" customHeight="1">
      <c r="A611" s="134"/>
      <c r="B611" s="134"/>
      <c r="C611" s="134"/>
      <c r="D611" s="412">
        <f t="shared" ref="D611:D613" si="89">D607</f>
        <v>46113</v>
      </c>
      <c r="E611" s="471" t="str">
        <f>$O$1</f>
        <v>TTAC</v>
      </c>
      <c r="F611" s="414">
        <f>IFERROR(AVERAGE(Rankings!$K611:$R611), "TBD")</f>
        <v>2.857142857</v>
      </c>
      <c r="G611" s="414">
        <f>IFERROR(_xlfn.STDEV.P(Rankings!$K611:$R611), "TBD")</f>
        <v>1.958758457</v>
      </c>
      <c r="H611" s="414">
        <f>IFERROR(AVERAGE(Rankings!$K611:$N611, Rankings!$P611:$R611), "TBD")</f>
        <v>3.166666667</v>
      </c>
      <c r="I611" s="439" t="s">
        <v>1512</v>
      </c>
      <c r="J611" s="439" t="s">
        <v>1513</v>
      </c>
      <c r="K611" s="430">
        <v>6.0</v>
      </c>
      <c r="L611" s="431">
        <v>1.0</v>
      </c>
      <c r="M611" s="431">
        <v>2.0</v>
      </c>
      <c r="N611" s="431">
        <v>4.0</v>
      </c>
      <c r="O611" s="431">
        <v>1.0</v>
      </c>
      <c r="P611" s="431">
        <v>1.0</v>
      </c>
      <c r="Q611" s="464">
        <v>5.0</v>
      </c>
      <c r="R611" s="465"/>
      <c r="S611" s="466">
        <f>IF(ISTEXT($V611), "TBD", RANK(V611,$V607:$V613))</f>
        <v>1</v>
      </c>
      <c r="T611" s="467">
        <v>1.0</v>
      </c>
      <c r="U611" s="468" t="b">
        <f>Rankings!$S611=Rankings!$T611</f>
        <v>1</v>
      </c>
      <c r="V611" s="461">
        <f>IF(ISTEXT(Rankings!F611), "TBD", (RANK($F611,$F607:$F613) + IF(ISTEXT($H611), 0, (RANK($H611,$H607:$H613)/10)) + (RANK($G611,$G607:$G613)/100)))</f>
        <v>7.71</v>
      </c>
      <c r="W611" s="153"/>
    </row>
    <row r="612" ht="15.75" customHeight="1">
      <c r="A612" s="134"/>
      <c r="B612" s="134"/>
      <c r="C612" s="134"/>
      <c r="D612" s="415">
        <f t="shared" si="89"/>
        <v>46113</v>
      </c>
      <c r="E612" s="472" t="str">
        <f>$P$1</f>
        <v>Weston</v>
      </c>
      <c r="F612" s="418">
        <f>IFERROR(AVERAGE(Rankings!$K612:$R612), "TBD")</f>
        <v>4.428571429</v>
      </c>
      <c r="G612" s="418">
        <f>IFERROR(_xlfn.STDEV.P(Rankings!$K612:$R612), "TBD")</f>
        <v>1.678191446</v>
      </c>
      <c r="H612" s="418">
        <f>IFERROR(AVERAGE(Rankings!$K612:$O612, Rankings!$Q612:$R612), "TBD")</f>
        <v>4.666666667</v>
      </c>
      <c r="I612" s="440" t="s">
        <v>1514</v>
      </c>
      <c r="J612" s="440" t="s">
        <v>1515</v>
      </c>
      <c r="K612" s="430">
        <v>5.0</v>
      </c>
      <c r="L612" s="431">
        <v>6.0</v>
      </c>
      <c r="M612" s="431">
        <v>7.0</v>
      </c>
      <c r="N612" s="431">
        <v>2.0</v>
      </c>
      <c r="O612" s="431">
        <v>5.0</v>
      </c>
      <c r="P612" s="431">
        <v>3.0</v>
      </c>
      <c r="Q612" s="464">
        <v>3.0</v>
      </c>
      <c r="R612" s="465"/>
      <c r="S612" s="466">
        <f>IF(ISTEXT($V612), "TBD", RANK(V612,$V607:$V613))</f>
        <v>6</v>
      </c>
      <c r="T612" s="467">
        <v>1.0</v>
      </c>
      <c r="U612" s="468" t="b">
        <f>Rankings!$S612=Rankings!$T612</f>
        <v>0</v>
      </c>
      <c r="V612" s="461">
        <f>IF(ISTEXT(Rankings!F612), "TBD", (RANK($F612,$F607:$F613) + IF(ISTEXT($H612), 0, (RANK($H612,$H607:$H613)/10)) + (RANK($G612,$G607:$G613)/100)))</f>
        <v>2.23</v>
      </c>
      <c r="W612" s="153"/>
    </row>
    <row r="613" ht="15.75" customHeight="1">
      <c r="A613" s="189"/>
      <c r="B613" s="189"/>
      <c r="C613" s="189"/>
      <c r="D613" s="473">
        <f t="shared" si="89"/>
        <v>46113</v>
      </c>
      <c r="E613" s="131" t="str">
        <f>$Q$1</f>
        <v>Flocco</v>
      </c>
      <c r="F613" s="474">
        <f>IFERROR(AVERAGE(Rankings!$K613:$R613), "TBD")</f>
        <v>3.142857143</v>
      </c>
      <c r="G613" s="474">
        <f>IFERROR(_xlfn.STDEV.P(Rankings!$K613:$R613), "TBD")</f>
        <v>1.456862718</v>
      </c>
      <c r="H613" s="474">
        <f>IFERROR(AVERAGE(Rankings!$K613:$P613, Rankings!$R613), "TBD")</f>
        <v>3.5</v>
      </c>
      <c r="I613" s="475" t="s">
        <v>1516</v>
      </c>
      <c r="J613" s="475" t="s">
        <v>1517</v>
      </c>
      <c r="K613" s="430">
        <v>2.0</v>
      </c>
      <c r="L613" s="431">
        <v>5.0</v>
      </c>
      <c r="M613" s="431">
        <v>5.0</v>
      </c>
      <c r="N613" s="431">
        <v>3.0</v>
      </c>
      <c r="O613" s="431">
        <v>2.0</v>
      </c>
      <c r="P613" s="431">
        <v>4.0</v>
      </c>
      <c r="Q613" s="464">
        <v>1.0</v>
      </c>
      <c r="R613" s="465"/>
      <c r="S613" s="466">
        <f>IF(ISTEXT($V613), "TBD", RANK(V613,$V607:$V613))</f>
        <v>3</v>
      </c>
      <c r="T613" s="467">
        <v>1.0</v>
      </c>
      <c r="U613" s="468" t="b">
        <f>Rankings!$S613=Rankings!$T613</f>
        <v>0</v>
      </c>
      <c r="V613" s="461">
        <f>IF(ISTEXT(Rankings!F613), "TBD", (RANK($F613,$F607:$F613) + IF(ISTEXT($H613), 0, (RANK($H613,$H607:$H613)/10)) + (RANK($G613,$G607:$G613)/100)))</f>
        <v>5.56</v>
      </c>
      <c r="W613" s="208"/>
    </row>
    <row r="614" ht="15.75" customHeight="1">
      <c r="A614" s="103">
        <v>46115.0</v>
      </c>
      <c r="B614" s="453"/>
      <c r="C614" s="454" t="str">
        <f t="array" ref="C614">INDEX(Rankings!$E614:$E620, MATCH(1, (Rankings!$D614:$D620=$A614)*(Rankings!$U614:$U620=TRUE()), 0))</f>
        <v>Parker</v>
      </c>
      <c r="D614" s="480">
        <f>A614</f>
        <v>46115</v>
      </c>
      <c r="E614" s="455" t="str">
        <f>$K$1</f>
        <v>Logan</v>
      </c>
      <c r="F614" s="481">
        <f>IFERROR(AVERAGE(Rankings!$K614:$R614), "TBD")</f>
        <v>2.571428571</v>
      </c>
      <c r="G614" s="481">
        <f>IFERROR(_xlfn.STDEV.P(Rankings!$K614:$R614), "TBD")</f>
        <v>1.293626448</v>
      </c>
      <c r="H614" s="481">
        <f>IFERROR(AVERAGE(Rankings!$L614:$R614), "TBD")</f>
        <v>2.833333333</v>
      </c>
      <c r="I614" s="482" t="s">
        <v>1518</v>
      </c>
      <c r="J614" s="482" t="s">
        <v>1519</v>
      </c>
      <c r="K614" s="483">
        <v>1.0</v>
      </c>
      <c r="L614" s="484">
        <v>4.0</v>
      </c>
      <c r="M614" s="484">
        <v>4.0</v>
      </c>
      <c r="N614" s="484">
        <v>2.0</v>
      </c>
      <c r="O614" s="484">
        <v>4.0</v>
      </c>
      <c r="P614" s="484">
        <v>1.0</v>
      </c>
      <c r="Q614" s="485">
        <v>2.0</v>
      </c>
      <c r="R614" s="486"/>
      <c r="S614" s="487">
        <f>IF(ISTEXT($V614), "TBD", RANK(V614,$V614:$V620))</f>
        <v>3</v>
      </c>
      <c r="T614" s="488">
        <v>1.0</v>
      </c>
      <c r="U614" s="489" t="b">
        <f>Rankings!$S614=Rankings!$T614</f>
        <v>0</v>
      </c>
      <c r="V614" s="490">
        <f>IF(ISTEXT(Rankings!F614), "TBD", (RANK($F614,$F614:$F620) + IF(ISTEXT($H614), 0, (RANK($H614,$H614:$H620)/10)) + (RANK($G614,$G614:$G620)/100)))</f>
        <v>5.52</v>
      </c>
      <c r="W614" s="259" t="s">
        <v>1520</v>
      </c>
    </row>
    <row r="615" ht="15.75" customHeight="1">
      <c r="A615" s="134"/>
      <c r="B615" s="134"/>
      <c r="C615" s="134"/>
      <c r="D615" s="491">
        <f>D614</f>
        <v>46115</v>
      </c>
      <c r="E615" s="463" t="str">
        <f>$L$1</f>
        <v>Parker</v>
      </c>
      <c r="F615" s="492">
        <f>IFERROR(AVERAGE(Rankings!$K615:$R615), "TBD")</f>
        <v>1.857142857</v>
      </c>
      <c r="G615" s="492">
        <f>IFERROR(_xlfn.STDEV.P(Rankings!$K615:$R615), "TBD")</f>
        <v>1.124858268</v>
      </c>
      <c r="H615" s="492">
        <f>IFERROR(AVERAGE(Rankings!$K615, Rankings!$M615:$R615), "TBD")</f>
        <v>2</v>
      </c>
      <c r="I615" s="493" t="s">
        <v>40</v>
      </c>
      <c r="J615" s="493" t="s">
        <v>1521</v>
      </c>
      <c r="K615" s="494">
        <v>3.0</v>
      </c>
      <c r="L615" s="495">
        <v>1.0</v>
      </c>
      <c r="M615" s="495">
        <v>1.0</v>
      </c>
      <c r="N615" s="495">
        <v>1.0</v>
      </c>
      <c r="O615" s="495">
        <v>1.0</v>
      </c>
      <c r="P615" s="495">
        <v>2.0</v>
      </c>
      <c r="Q615" s="496">
        <v>4.0</v>
      </c>
      <c r="R615" s="497"/>
      <c r="S615" s="498">
        <f>IF(ISTEXT($V615), "TBD", RANK(V615,$V614:$V620))</f>
        <v>1</v>
      </c>
      <c r="T615" s="499">
        <v>1.0</v>
      </c>
      <c r="U615" s="500" t="b">
        <f>Rankings!$S615=Rankings!$T615</f>
        <v>1</v>
      </c>
      <c r="V615" s="490">
        <f>IF(ISTEXT(Rankings!F615), "TBD", (RANK($F615,$F614:$F620) + IF(ISTEXT($H615), 0, (RANK($H615,$H614:$H620)/10)) + (RANK($G615,$G614:$G620)/100)))</f>
        <v>7.73</v>
      </c>
      <c r="W615" s="153"/>
    </row>
    <row r="616" ht="15.75" customHeight="1">
      <c r="A616" s="134"/>
      <c r="B616" s="134"/>
      <c r="C616" s="134"/>
      <c r="D616" s="501">
        <f>D614</f>
        <v>46115</v>
      </c>
      <c r="E616" s="469" t="str">
        <f>$M$1</f>
        <v>Giacomo</v>
      </c>
      <c r="F616" s="502">
        <f>IFERROR(AVERAGE(Rankings!$K616:$R616), "TBD")</f>
        <v>2.428571429</v>
      </c>
      <c r="G616" s="502">
        <f>IFERROR(_xlfn.STDEV.P(Rankings!$K616:$R616), "TBD")</f>
        <v>0.9035079029</v>
      </c>
      <c r="H616" s="502">
        <f>IFERROR(AVERAGE(Rankings!$K616:$L616, Rankings!$N616:$R616), "TBD")</f>
        <v>2.5</v>
      </c>
      <c r="I616" s="503" t="s">
        <v>1522</v>
      </c>
      <c r="J616" s="503" t="s">
        <v>1523</v>
      </c>
      <c r="K616" s="494">
        <v>2.0</v>
      </c>
      <c r="L616" s="495">
        <v>3.0</v>
      </c>
      <c r="M616" s="495">
        <v>2.0</v>
      </c>
      <c r="N616" s="495">
        <v>4.0</v>
      </c>
      <c r="O616" s="495">
        <v>2.0</v>
      </c>
      <c r="P616" s="495">
        <v>3.0</v>
      </c>
      <c r="Q616" s="496">
        <v>1.0</v>
      </c>
      <c r="R616" s="497"/>
      <c r="S616" s="498">
        <f>IF(ISTEXT($V616), "TBD", RANK(V616,$V614:$V620))</f>
        <v>2</v>
      </c>
      <c r="T616" s="499">
        <v>1.0</v>
      </c>
      <c r="U616" s="500" t="b">
        <f>Rankings!$S616=Rankings!$T616</f>
        <v>0</v>
      </c>
      <c r="V616" s="490">
        <f>IF(ISTEXT(Rankings!F616), "TBD", (RANK($F616,$F614:$F620) + IF(ISTEXT($H616), 0, (RANK($H616,$H614:$H620)/10)) + (RANK($G616,$G614:$G620)/100)))</f>
        <v>6.64</v>
      </c>
      <c r="W616" s="153"/>
    </row>
    <row r="617" ht="15.75" customHeight="1">
      <c r="A617" s="134"/>
      <c r="B617" s="134"/>
      <c r="C617" s="134"/>
      <c r="D617" s="504">
        <f>D614</f>
        <v>46115</v>
      </c>
      <c r="E617" s="470" t="str">
        <f>$N$1</f>
        <v>Rosey</v>
      </c>
      <c r="F617" s="505">
        <f>IFERROR(AVERAGE(Rankings!$K617:$R617), "TBD")</f>
        <v>4.571428571</v>
      </c>
      <c r="G617" s="505">
        <f>IFERROR(_xlfn.STDEV.P(Rankings!$K617:$R617), "TBD")</f>
        <v>0.9035079029</v>
      </c>
      <c r="H617" s="505">
        <f>IFERROR(AVERAGE(Rankings!$K617:$M617, Rankings!$O617:$R617), "TBD")</f>
        <v>4.5</v>
      </c>
      <c r="I617" s="506" t="s">
        <v>1524</v>
      </c>
      <c r="J617" s="506" t="s">
        <v>1525</v>
      </c>
      <c r="K617" s="494">
        <v>4.0</v>
      </c>
      <c r="L617" s="495">
        <v>5.0</v>
      </c>
      <c r="M617" s="495">
        <v>3.0</v>
      </c>
      <c r="N617" s="495">
        <v>5.0</v>
      </c>
      <c r="O617" s="495">
        <v>5.0</v>
      </c>
      <c r="P617" s="495">
        <v>4.0</v>
      </c>
      <c r="Q617" s="496">
        <v>6.0</v>
      </c>
      <c r="R617" s="497"/>
      <c r="S617" s="498">
        <f>IF(ISTEXT($V617), "TBD", RANK(V617,$V614:$V620))</f>
        <v>5</v>
      </c>
      <c r="T617" s="499">
        <v>1.0</v>
      </c>
      <c r="U617" s="500" t="b">
        <f>Rankings!$S617=Rankings!$T617</f>
        <v>0</v>
      </c>
      <c r="V617" s="490">
        <f>IF(ISTEXT(Rankings!F617), "TBD", (RANK($F617,$F614:$F620) + IF(ISTEXT($H617), 0, (RANK($H617,$H614:$H620)/10)) + (RANK($G617,$G614:$G620)/100)))</f>
        <v>3.35</v>
      </c>
      <c r="W617" s="153"/>
    </row>
    <row r="618" ht="15.75" customHeight="1">
      <c r="A618" s="134"/>
      <c r="B618" s="134"/>
      <c r="C618" s="134"/>
      <c r="D618" s="507">
        <f t="shared" ref="D618:D620" si="90">D614</f>
        <v>46115</v>
      </c>
      <c r="E618" s="471" t="str">
        <f>$O$1</f>
        <v>TTAC</v>
      </c>
      <c r="F618" s="508">
        <f>IFERROR(AVERAGE(Rankings!$K618:$R618), "TBD")</f>
        <v>6.142857143</v>
      </c>
      <c r="G618" s="508">
        <f>IFERROR(_xlfn.STDEV.P(Rankings!$K618:$R618), "TBD")</f>
        <v>0.638876565</v>
      </c>
      <c r="H618" s="508">
        <f>IFERROR(AVERAGE(Rankings!$K618:$N618, Rankings!$P618:$R618), "TBD")</f>
        <v>6.166666667</v>
      </c>
      <c r="I618" s="509" t="s">
        <v>1526</v>
      </c>
      <c r="J618" s="509" t="s">
        <v>1527</v>
      </c>
      <c r="K618" s="494">
        <v>6.0</v>
      </c>
      <c r="L618" s="495">
        <v>7.0</v>
      </c>
      <c r="M618" s="495">
        <v>7.0</v>
      </c>
      <c r="N618" s="495">
        <v>6.0</v>
      </c>
      <c r="O618" s="495">
        <v>6.0</v>
      </c>
      <c r="P618" s="495">
        <v>6.0</v>
      </c>
      <c r="Q618" s="496">
        <v>5.0</v>
      </c>
      <c r="R618" s="497"/>
      <c r="S618" s="498">
        <f>IF(ISTEXT($V618), "TBD", RANK(V618,$V614:$V620))</f>
        <v>6</v>
      </c>
      <c r="T618" s="499">
        <v>1.0</v>
      </c>
      <c r="U618" s="500" t="b">
        <f>Rankings!$S618=Rankings!$T618</f>
        <v>0</v>
      </c>
      <c r="V618" s="490">
        <f>IF(ISTEXT(Rankings!F618), "TBD", (RANK($F618,$F614:$F620) + IF(ISTEXT($H618), 0, (RANK($H618,$H614:$H620)/10)) + (RANK($G618,$G614:$G620)/100)))</f>
        <v>2.27</v>
      </c>
      <c r="W618" s="153"/>
    </row>
    <row r="619" ht="15.75" customHeight="1">
      <c r="A619" s="134"/>
      <c r="B619" s="134"/>
      <c r="C619" s="134"/>
      <c r="D619" s="510">
        <f t="shared" si="90"/>
        <v>46115</v>
      </c>
      <c r="E619" s="472" t="str">
        <f>$P$1</f>
        <v>Weston</v>
      </c>
      <c r="F619" s="511">
        <f>IFERROR(AVERAGE(Rankings!$K619:$R619), "TBD")</f>
        <v>6.428571429</v>
      </c>
      <c r="G619" s="511">
        <f>IFERROR(_xlfn.STDEV.P(Rankings!$K619:$R619), "TBD")</f>
        <v>0.7284313591</v>
      </c>
      <c r="H619" s="511">
        <f>IFERROR(AVERAGE(Rankings!$K619:$O619, Rankings!$Q619:$R619), "TBD")</f>
        <v>6.666666667</v>
      </c>
      <c r="I619" s="512" t="s">
        <v>1528</v>
      </c>
      <c r="J619" s="513" t="s">
        <v>1529</v>
      </c>
      <c r="K619" s="494">
        <v>7.0</v>
      </c>
      <c r="L619" s="495">
        <v>6.0</v>
      </c>
      <c r="M619" s="495">
        <v>6.0</v>
      </c>
      <c r="N619" s="495">
        <v>7.0</v>
      </c>
      <c r="O619" s="495">
        <v>7.0</v>
      </c>
      <c r="P619" s="495">
        <v>5.0</v>
      </c>
      <c r="Q619" s="496">
        <v>7.0</v>
      </c>
      <c r="R619" s="497"/>
      <c r="S619" s="498">
        <f>IF(ISTEXT($V619), "TBD", RANK(V619,$V614:$V620))</f>
        <v>7</v>
      </c>
      <c r="T619" s="499">
        <v>1.0</v>
      </c>
      <c r="U619" s="500" t="b">
        <f>Rankings!$S619=Rankings!$T619</f>
        <v>0</v>
      </c>
      <c r="V619" s="490">
        <f>IF(ISTEXT(Rankings!F619), "TBD", (RANK($F619,$F614:$F620) + IF(ISTEXT($H619), 0, (RANK($H619,$H614:$H620)/10)) + (RANK($G619,$G614:$G620)/100)))</f>
        <v>1.16</v>
      </c>
      <c r="W619" s="153"/>
    </row>
    <row r="620" ht="15.75" customHeight="1">
      <c r="A620" s="189"/>
      <c r="B620" s="189"/>
      <c r="C620" s="189"/>
      <c r="D620" s="514">
        <f t="shared" si="90"/>
        <v>46115</v>
      </c>
      <c r="E620" s="131" t="str">
        <f>$Q$1</f>
        <v>Flocco</v>
      </c>
      <c r="F620" s="515">
        <f>IFERROR(AVERAGE(Rankings!$K620:$R620), "TBD")</f>
        <v>4.142857143</v>
      </c>
      <c r="G620" s="515">
        <f>IFERROR(_xlfn.STDEV.P(Rankings!$K620:$R620), "TBD")</f>
        <v>1.726149425</v>
      </c>
      <c r="H620" s="515">
        <f>IFERROR(AVERAGE(Rankings!$K620:$P620, Rankings!$R620), "TBD")</f>
        <v>4.333333333</v>
      </c>
      <c r="I620" s="516" t="s">
        <v>1530</v>
      </c>
      <c r="J620" s="516" t="s">
        <v>1531</v>
      </c>
      <c r="K620" s="494">
        <v>6.0</v>
      </c>
      <c r="L620" s="495">
        <v>2.0</v>
      </c>
      <c r="M620" s="495">
        <v>5.0</v>
      </c>
      <c r="N620" s="495">
        <v>3.0</v>
      </c>
      <c r="O620" s="495">
        <v>3.0</v>
      </c>
      <c r="P620" s="495">
        <v>7.0</v>
      </c>
      <c r="Q620" s="496">
        <v>3.0</v>
      </c>
      <c r="R620" s="497"/>
      <c r="S620" s="498">
        <f>IF(ISTEXT($V620), "TBD", RANK(V620,$V614:$V620))</f>
        <v>4</v>
      </c>
      <c r="T620" s="499">
        <v>1.0</v>
      </c>
      <c r="U620" s="500" t="b">
        <f>Rankings!$S620=Rankings!$T620</f>
        <v>0</v>
      </c>
      <c r="V620" s="490">
        <f>IF(ISTEXT(Rankings!F620), "TBD", (RANK($F620,$F614:$F620) + IF(ISTEXT($H620), 0, (RANK($H620,$H614:$H620)/10)) + (RANK($G620,$G614:$G620)/100)))</f>
        <v>4.41</v>
      </c>
      <c r="W620" s="208"/>
    </row>
    <row r="621" ht="15.75" customHeight="1">
      <c r="A621" s="103">
        <v>46118.0</v>
      </c>
      <c r="B621" s="453"/>
      <c r="C621" s="454" t="str">
        <f t="array" ref="C621">INDEX(Rankings!$E621:$E627, MATCH(1, (Rankings!$D621:$D627=$A621)*(Rankings!$U621:$U627=TRUE()), 0))</f>
        <v>Flocco</v>
      </c>
      <c r="D621" s="480">
        <f>A621</f>
        <v>46118</v>
      </c>
      <c r="E621" s="455" t="str">
        <f>$K$1</f>
        <v>Logan</v>
      </c>
      <c r="F621" s="481">
        <f>IFERROR(AVERAGE(Rankings!$K621:$R621), "TBD")</f>
        <v>4.571428571</v>
      </c>
      <c r="G621" s="481">
        <f>IFERROR(_xlfn.STDEV.P(Rankings!$K621:$R621), "TBD")</f>
        <v>0.9035079029</v>
      </c>
      <c r="H621" s="481">
        <f>IFERROR(AVERAGE(Rankings!$L621:$R621), "TBD")</f>
        <v>4.833333333</v>
      </c>
      <c r="I621" s="482" t="s">
        <v>1532</v>
      </c>
      <c r="J621" s="482" t="s">
        <v>1533</v>
      </c>
      <c r="K621" s="483">
        <v>3.0</v>
      </c>
      <c r="L621" s="484">
        <v>4.0</v>
      </c>
      <c r="M621" s="484">
        <v>4.0</v>
      </c>
      <c r="N621" s="484">
        <v>5.0</v>
      </c>
      <c r="O621" s="484">
        <v>6.0</v>
      </c>
      <c r="P621" s="484">
        <v>5.0</v>
      </c>
      <c r="Q621" s="485">
        <v>5.0</v>
      </c>
      <c r="R621" s="486"/>
      <c r="S621" s="487">
        <f>IF(ISTEXT($V621), "TBD", RANK(V621,$V621:$V627))</f>
        <v>5</v>
      </c>
      <c r="T621" s="488">
        <v>1.0</v>
      </c>
      <c r="U621" s="489" t="b">
        <f>Rankings!$S621=Rankings!$T621</f>
        <v>0</v>
      </c>
      <c r="V621" s="490">
        <f>IF(ISTEXT(Rankings!F621), "TBD", (RANK($F621,$F621:$F627) + IF(ISTEXT($H621), 0, (RANK($H621,$H621:$H627)/10)) + (RANK($G621,$G621:$G627)/100)))</f>
        <v>3.37</v>
      </c>
      <c r="W621" s="517"/>
    </row>
    <row r="622" ht="15.75" customHeight="1">
      <c r="A622" s="134"/>
      <c r="B622" s="134"/>
      <c r="C622" s="134"/>
      <c r="D622" s="491">
        <f>D621</f>
        <v>46118</v>
      </c>
      <c r="E622" s="463" t="str">
        <f>$L$1</f>
        <v>Parker</v>
      </c>
      <c r="F622" s="492">
        <f>IFERROR(AVERAGE(Rankings!$K622:$R622), "TBD")</f>
        <v>3.142857143</v>
      </c>
      <c r="G622" s="492">
        <f>IFERROR(_xlfn.STDEV.P(Rankings!$K622:$R622), "TBD")</f>
        <v>1.551825784</v>
      </c>
      <c r="H622" s="492">
        <f>IFERROR(AVERAGE(Rankings!$K622, Rankings!$M622:$R622), "TBD")</f>
        <v>3.5</v>
      </c>
      <c r="I622" s="493" t="s">
        <v>1534</v>
      </c>
      <c r="J622" s="493" t="s">
        <v>646</v>
      </c>
      <c r="K622" s="494">
        <v>5.0</v>
      </c>
      <c r="L622" s="495">
        <v>1.0</v>
      </c>
      <c r="M622" s="495">
        <v>5.0</v>
      </c>
      <c r="N622" s="495">
        <v>1.0</v>
      </c>
      <c r="O622" s="495">
        <v>3.0</v>
      </c>
      <c r="P622" s="495">
        <v>4.0</v>
      </c>
      <c r="Q622" s="496">
        <v>3.0</v>
      </c>
      <c r="R622" s="497"/>
      <c r="S622" s="498">
        <f>IF(ISTEXT($V622), "TBD", RANK(V622,$V621:$V627))</f>
        <v>3</v>
      </c>
      <c r="T622" s="499">
        <v>1.0</v>
      </c>
      <c r="U622" s="500" t="b">
        <f>Rankings!$S622=Rankings!$T622</f>
        <v>0</v>
      </c>
      <c r="V622" s="490">
        <f>IF(ISTEXT(Rankings!F622), "TBD", (RANK($F622,$F621:$F627) + IF(ISTEXT($H622), 0, (RANK($H622,$H621:$H627)/10)) + (RANK($G622,$G621:$G627)/100)))</f>
        <v>5.53</v>
      </c>
      <c r="W622" s="153"/>
    </row>
    <row r="623" ht="15.75" customHeight="1">
      <c r="A623" s="134"/>
      <c r="B623" s="134"/>
      <c r="C623" s="134"/>
      <c r="D623" s="501">
        <f>D621</f>
        <v>46118</v>
      </c>
      <c r="E623" s="469" t="str">
        <f>$M$1</f>
        <v>Giacomo</v>
      </c>
      <c r="F623" s="502">
        <f>IFERROR(AVERAGE(Rankings!$K623:$R623), "TBD")</f>
        <v>6</v>
      </c>
      <c r="G623" s="502">
        <f>IFERROR(_xlfn.STDEV.P(Rankings!$K623:$R623), "TBD")</f>
        <v>1.309307341</v>
      </c>
      <c r="H623" s="502">
        <f>IFERROR(AVERAGE(Rankings!$K623:$L623, Rankings!$N623:$R623), "TBD")</f>
        <v>6.5</v>
      </c>
      <c r="I623" s="503" t="s">
        <v>1535</v>
      </c>
      <c r="J623" s="503" t="s">
        <v>1536</v>
      </c>
      <c r="K623" s="494">
        <v>7.0</v>
      </c>
      <c r="L623" s="495">
        <v>6.0</v>
      </c>
      <c r="M623" s="495">
        <v>3.0</v>
      </c>
      <c r="N623" s="495">
        <v>6.0</v>
      </c>
      <c r="O623" s="495">
        <v>7.0</v>
      </c>
      <c r="P623" s="495">
        <v>6.0</v>
      </c>
      <c r="Q623" s="496">
        <v>7.0</v>
      </c>
      <c r="R623" s="497"/>
      <c r="S623" s="498">
        <f>IF(ISTEXT($V623), "TBD", RANK(V623,$V621:$V627))</f>
        <v>7</v>
      </c>
      <c r="T623" s="499">
        <v>1.0</v>
      </c>
      <c r="U623" s="500" t="b">
        <f>Rankings!$S623=Rankings!$T623</f>
        <v>0</v>
      </c>
      <c r="V623" s="490">
        <f>IF(ISTEXT(Rankings!F623), "TBD", (RANK($F623,$F621:$F627) + IF(ISTEXT($H623), 0, (RANK($H623,$H621:$H627)/10)) + (RANK($G623,$G621:$G627)/100)))</f>
        <v>1.14</v>
      </c>
      <c r="W623" s="153"/>
    </row>
    <row r="624" ht="15.75" customHeight="1">
      <c r="A624" s="134"/>
      <c r="B624" s="134"/>
      <c r="C624" s="134"/>
      <c r="D624" s="504">
        <f>D621</f>
        <v>46118</v>
      </c>
      <c r="E624" s="470" t="str">
        <f>$N$1</f>
        <v>Rosey</v>
      </c>
      <c r="F624" s="505">
        <f>IFERROR(AVERAGE(Rankings!$K624:$R624), "TBD")</f>
        <v>4.285714286</v>
      </c>
      <c r="G624" s="505">
        <f>IFERROR(_xlfn.STDEV.P(Rankings!$K624:$R624), "TBD")</f>
        <v>1.979486637</v>
      </c>
      <c r="H624" s="505">
        <f>IFERROR(AVERAGE(Rankings!$K624:$M624, Rankings!$O624:$R624), "TBD")</f>
        <v>4.5</v>
      </c>
      <c r="I624" s="506" t="s">
        <v>1537</v>
      </c>
      <c r="J624" s="506" t="s">
        <v>1538</v>
      </c>
      <c r="K624" s="494">
        <v>4.0</v>
      </c>
      <c r="L624" s="495">
        <v>5.0</v>
      </c>
      <c r="M624" s="495">
        <v>7.0</v>
      </c>
      <c r="N624" s="495">
        <v>3.0</v>
      </c>
      <c r="O624" s="495">
        <v>2.0</v>
      </c>
      <c r="P624" s="495">
        <v>7.0</v>
      </c>
      <c r="Q624" s="496">
        <v>2.0</v>
      </c>
      <c r="R624" s="497"/>
      <c r="S624" s="498">
        <f>IF(ISTEXT($V624), "TBD", RANK(V624,$V621:$V627))</f>
        <v>4</v>
      </c>
      <c r="T624" s="499">
        <v>1.0</v>
      </c>
      <c r="U624" s="500" t="b">
        <f>Rankings!$S624=Rankings!$T624</f>
        <v>0</v>
      </c>
      <c r="V624" s="490">
        <f>IF(ISTEXT(Rankings!F624), "TBD", (RANK($F624,$F621:$F627) + IF(ISTEXT($H624), 0, (RANK($H624,$H621:$H627)/10)) + (RANK($G624,$G621:$G627)/100)))</f>
        <v>4.41</v>
      </c>
      <c r="W624" s="153"/>
    </row>
    <row r="625" ht="15.75" customHeight="1">
      <c r="A625" s="134"/>
      <c r="B625" s="134"/>
      <c r="C625" s="134"/>
      <c r="D625" s="507">
        <f t="shared" ref="D625:D627" si="91">D621</f>
        <v>46118</v>
      </c>
      <c r="E625" s="471" t="str">
        <f>$O$1</f>
        <v>TTAC</v>
      </c>
      <c r="F625" s="508">
        <f>IFERROR(AVERAGE(Rankings!$K625:$R625), "TBD")</f>
        <v>2.571428571</v>
      </c>
      <c r="G625" s="508">
        <f>IFERROR(_xlfn.STDEV.P(Rankings!$K625:$R625), "TBD")</f>
        <v>1.049781318</v>
      </c>
      <c r="H625" s="508">
        <f>IFERROR(AVERAGE(Rankings!$K625:$N625, Rankings!$P625:$R625), "TBD")</f>
        <v>2.333333333</v>
      </c>
      <c r="I625" s="509" t="s">
        <v>1539</v>
      </c>
      <c r="J625" s="509" t="s">
        <v>1275</v>
      </c>
      <c r="K625" s="494">
        <v>1.0</v>
      </c>
      <c r="L625" s="495">
        <v>2.0</v>
      </c>
      <c r="M625" s="495">
        <v>2.0</v>
      </c>
      <c r="N625" s="495">
        <v>2.0</v>
      </c>
      <c r="O625" s="495">
        <v>4.0</v>
      </c>
      <c r="P625" s="495">
        <v>3.0</v>
      </c>
      <c r="Q625" s="496">
        <v>4.0</v>
      </c>
      <c r="R625" s="497"/>
      <c r="S625" s="498">
        <f>IF(ISTEXT($V625), "TBD", RANK(V625,$V621:$V627))</f>
        <v>2</v>
      </c>
      <c r="T625" s="499">
        <v>1.0</v>
      </c>
      <c r="U625" s="500" t="b">
        <f>Rankings!$S625=Rankings!$T625</f>
        <v>0</v>
      </c>
      <c r="V625" s="490">
        <f>IF(ISTEXT(Rankings!F625), "TBD", (RANK($F625,$F621:$F627) + IF(ISTEXT($H625), 0, (RANK($H625,$H621:$H627)/10)) + (RANK($G625,$G621:$G627)/100)))</f>
        <v>6.66</v>
      </c>
      <c r="W625" s="153"/>
    </row>
    <row r="626" ht="15.75" customHeight="1">
      <c r="A626" s="134"/>
      <c r="B626" s="134"/>
      <c r="C626" s="134"/>
      <c r="D626" s="510">
        <f t="shared" si="91"/>
        <v>46118</v>
      </c>
      <c r="E626" s="472" t="str">
        <f>$P$1</f>
        <v>Weston</v>
      </c>
      <c r="F626" s="511">
        <f>IFERROR(AVERAGE(Rankings!$K626:$R626), "TBD")</f>
        <v>5.571428571</v>
      </c>
      <c r="G626" s="511">
        <f>IFERROR(_xlfn.STDEV.P(Rankings!$K626:$R626), "TBD")</f>
        <v>1.590789818</v>
      </c>
      <c r="H626" s="511">
        <f>IFERROR(AVERAGE(Rankings!$K626:$O626, Rankings!$Q626:$R626), "TBD")</f>
        <v>6.166666667</v>
      </c>
      <c r="I626" s="512" t="s">
        <v>1540</v>
      </c>
      <c r="J626" s="512" t="s">
        <v>1541</v>
      </c>
      <c r="K626" s="494">
        <v>6.0</v>
      </c>
      <c r="L626" s="495">
        <v>7.0</v>
      </c>
      <c r="M626" s="495">
        <v>6.0</v>
      </c>
      <c r="N626" s="495">
        <v>7.0</v>
      </c>
      <c r="O626" s="495">
        <v>5.0</v>
      </c>
      <c r="P626" s="495">
        <v>2.0</v>
      </c>
      <c r="Q626" s="496">
        <v>6.0</v>
      </c>
      <c r="R626" s="497"/>
      <c r="S626" s="498">
        <f>IF(ISTEXT($V626), "TBD", RANK(V626,$V621:$V627))</f>
        <v>6</v>
      </c>
      <c r="T626" s="499">
        <v>1.0</v>
      </c>
      <c r="U626" s="500" t="b">
        <f>Rankings!$S626=Rankings!$T626</f>
        <v>0</v>
      </c>
      <c r="V626" s="490">
        <f>IF(ISTEXT(Rankings!F626), "TBD", (RANK($F626,$F621:$F627) + IF(ISTEXT($H626), 0, (RANK($H626,$H621:$H627)/10)) + (RANK($G626,$G621:$G627)/100)))</f>
        <v>2.22</v>
      </c>
      <c r="W626" s="153"/>
    </row>
    <row r="627" ht="15.75" customHeight="1">
      <c r="A627" s="189"/>
      <c r="B627" s="189"/>
      <c r="C627" s="189"/>
      <c r="D627" s="514">
        <f t="shared" si="91"/>
        <v>46118</v>
      </c>
      <c r="E627" s="131" t="str">
        <f>$Q$1</f>
        <v>Flocco</v>
      </c>
      <c r="F627" s="515">
        <f>IFERROR(AVERAGE(Rankings!$K627:$R627), "TBD")</f>
        <v>1.857142857</v>
      </c>
      <c r="G627" s="515">
        <f>IFERROR(_xlfn.STDEV.P(Rankings!$K627:$R627), "TBD")</f>
        <v>1.124858268</v>
      </c>
      <c r="H627" s="515">
        <f>IFERROR(AVERAGE(Rankings!$K627:$P627, Rankings!$R627), "TBD")</f>
        <v>2</v>
      </c>
      <c r="I627" s="516" t="s">
        <v>1542</v>
      </c>
      <c r="J627" s="516" t="s">
        <v>1543</v>
      </c>
      <c r="K627" s="494">
        <v>2.0</v>
      </c>
      <c r="L627" s="495">
        <v>3.0</v>
      </c>
      <c r="M627" s="495">
        <v>1.0</v>
      </c>
      <c r="N627" s="495">
        <v>4.0</v>
      </c>
      <c r="O627" s="495">
        <v>1.0</v>
      </c>
      <c r="P627" s="495">
        <v>1.0</v>
      </c>
      <c r="Q627" s="496">
        <v>1.0</v>
      </c>
      <c r="R627" s="497"/>
      <c r="S627" s="498">
        <f>IF(ISTEXT($V627), "TBD", RANK(V627,$V621:$V627))</f>
        <v>1</v>
      </c>
      <c r="T627" s="499">
        <v>1.0</v>
      </c>
      <c r="U627" s="500" t="b">
        <f>Rankings!$S627=Rankings!$T627</f>
        <v>1</v>
      </c>
      <c r="V627" s="490">
        <f>IF(ISTEXT(Rankings!F627), "TBD", (RANK($F627,$F621:$F627) + IF(ISTEXT($H627), 0, (RANK($H627,$H621:$H627)/10)) + (RANK($G627,$G621:$G627)/100)))</f>
        <v>7.75</v>
      </c>
      <c r="W627" s="208"/>
    </row>
    <row r="628" ht="15.75" customHeight="1">
      <c r="A628" s="103">
        <v>46120.0</v>
      </c>
      <c r="B628" s="453"/>
      <c r="C628" s="454" t="str">
        <f t="array" ref="C628">INDEX(Rankings!$E628:$E634, MATCH(1, (Rankings!$D628:$D634=$A628)*(Rankings!$U628:$U634=TRUE()), 0))</f>
        <v>Rosey</v>
      </c>
      <c r="D628" s="480">
        <f>A628</f>
        <v>46120</v>
      </c>
      <c r="E628" s="455" t="str">
        <f>$K$1</f>
        <v>Logan</v>
      </c>
      <c r="F628" s="481">
        <f>IFERROR(AVERAGE(Rankings!$K628:$R628), "TBD")</f>
        <v>3.571428571</v>
      </c>
      <c r="G628" s="481">
        <f>IFERROR(_xlfn.STDEV.P(Rankings!$K628:$R628), "TBD")</f>
        <v>1.840585532</v>
      </c>
      <c r="H628" s="481">
        <f>IFERROR(AVERAGE(Rankings!$L628:$R628), "TBD")</f>
        <v>4</v>
      </c>
      <c r="I628" s="482" t="s">
        <v>1544</v>
      </c>
      <c r="J628" s="482" t="s">
        <v>1545</v>
      </c>
      <c r="K628" s="483">
        <v>1.0</v>
      </c>
      <c r="L628" s="484">
        <v>4.0</v>
      </c>
      <c r="M628" s="484">
        <v>6.0</v>
      </c>
      <c r="N628" s="484">
        <v>2.0</v>
      </c>
      <c r="O628" s="484">
        <v>2.0</v>
      </c>
      <c r="P628" s="484">
        <v>4.0</v>
      </c>
      <c r="Q628" s="485">
        <v>6.0</v>
      </c>
      <c r="R628" s="486"/>
      <c r="S628" s="487">
        <f>IF(ISTEXT($V628), "TBD", RANK(V628,$V628:$V634))</f>
        <v>3</v>
      </c>
      <c r="T628" s="488">
        <v>1.0</v>
      </c>
      <c r="U628" s="489" t="b">
        <f>Rankings!$S628=Rankings!$T628</f>
        <v>0</v>
      </c>
      <c r="V628" s="490">
        <f>IF(ISTEXT(Rankings!F628), "TBD", (RANK($F628,$F628:$F634) + IF(ISTEXT($H628), 0, (RANK($H628,$H628:$H634)/10)) + (RANK($G628,$G628:$G634)/100)))</f>
        <v>5.51</v>
      </c>
      <c r="W628" s="476" t="s">
        <v>1546</v>
      </c>
    </row>
    <row r="629" ht="15.75" customHeight="1">
      <c r="A629" s="134"/>
      <c r="B629" s="134"/>
      <c r="C629" s="134"/>
      <c r="D629" s="491">
        <f>D628</f>
        <v>46120</v>
      </c>
      <c r="E629" s="463" t="str">
        <f>$L$1</f>
        <v>Parker</v>
      </c>
      <c r="F629" s="492">
        <f>IFERROR(AVERAGE(Rankings!$K629:$R629), "TBD")</f>
        <v>5.285714286</v>
      </c>
      <c r="G629" s="492">
        <f>IFERROR(_xlfn.STDEV.P(Rankings!$K629:$R629), "TBD")</f>
        <v>1.749635531</v>
      </c>
      <c r="H629" s="492">
        <f>IFERROR(AVERAGE(Rankings!$K629, Rankings!$M629:$R629), "TBD")</f>
        <v>5.666666667</v>
      </c>
      <c r="I629" s="493" t="s">
        <v>1547</v>
      </c>
      <c r="J629" s="493" t="s">
        <v>1548</v>
      </c>
      <c r="K629" s="494">
        <v>4.0</v>
      </c>
      <c r="L629" s="495">
        <v>3.0</v>
      </c>
      <c r="M629" s="495">
        <v>3.0</v>
      </c>
      <c r="N629" s="495">
        <v>7.0</v>
      </c>
      <c r="O629" s="495">
        <v>7.0</v>
      </c>
      <c r="P629" s="495">
        <v>6.0</v>
      </c>
      <c r="Q629" s="496">
        <v>7.0</v>
      </c>
      <c r="R629" s="497"/>
      <c r="S629" s="498">
        <f>IF(ISTEXT($V629), "TBD", RANK(V629,$V628:$V634))</f>
        <v>6</v>
      </c>
      <c r="T629" s="499">
        <v>1.0</v>
      </c>
      <c r="U629" s="500" t="b">
        <f>Rankings!$S629=Rankings!$T629</f>
        <v>0</v>
      </c>
      <c r="V629" s="490">
        <f>IF(ISTEXT(Rankings!F629), "TBD", (RANK($F629,$F628:$F634) + IF(ISTEXT($H629), 0, (RANK($H629,$H628:$H634)/10)) + (RANK($G629,$G628:$G634)/100)))</f>
        <v>2.22</v>
      </c>
      <c r="W629" s="153"/>
    </row>
    <row r="630" ht="15.75" customHeight="1">
      <c r="A630" s="134"/>
      <c r="B630" s="134"/>
      <c r="C630" s="134"/>
      <c r="D630" s="501">
        <f>D628</f>
        <v>46120</v>
      </c>
      <c r="E630" s="469" t="str">
        <f>$M$1</f>
        <v>Giacomo</v>
      </c>
      <c r="F630" s="502">
        <f>IFERROR(AVERAGE(Rankings!$K630:$R630), "TBD")</f>
        <v>2</v>
      </c>
      <c r="G630" s="502">
        <f>IFERROR(_xlfn.STDEV.P(Rankings!$K630:$R630), "TBD")</f>
        <v>1.069044968</v>
      </c>
      <c r="H630" s="502">
        <f>IFERROR(AVERAGE(Rankings!$K630:$L630, Rankings!$N630:$R630), "TBD")</f>
        <v>2.166666667</v>
      </c>
      <c r="I630" s="503" t="s">
        <v>1549</v>
      </c>
      <c r="J630" s="503" t="s">
        <v>1550</v>
      </c>
      <c r="K630" s="494">
        <v>2.0</v>
      </c>
      <c r="L630" s="495">
        <v>2.0</v>
      </c>
      <c r="M630" s="495">
        <v>1.0</v>
      </c>
      <c r="N630" s="495">
        <v>3.0</v>
      </c>
      <c r="O630" s="495">
        <v>4.0</v>
      </c>
      <c r="P630" s="495">
        <v>1.0</v>
      </c>
      <c r="Q630" s="496">
        <v>1.0</v>
      </c>
      <c r="R630" s="497"/>
      <c r="S630" s="498">
        <f>IF(ISTEXT($V630), "TBD", RANK(V630,$V628:$V634))</f>
        <v>2</v>
      </c>
      <c r="T630" s="518">
        <v>1.0</v>
      </c>
      <c r="U630" s="500" t="b">
        <f>Rankings!$S630=Rankings!$T630</f>
        <v>0</v>
      </c>
      <c r="V630" s="490">
        <f>IF(ISTEXT(Rankings!F630), "TBD", (RANK($F630,$F628:$F634) + IF(ISTEXT($H630), 0, (RANK($H630,$H628:$H634)/10)) + (RANK($G630,$G628:$G634)/100))) - 0.01</f>
        <v>6.64</v>
      </c>
      <c r="W630" s="153"/>
    </row>
    <row r="631" ht="15.75" customHeight="1">
      <c r="A631" s="134"/>
      <c r="B631" s="134"/>
      <c r="C631" s="134"/>
      <c r="D631" s="504">
        <f>D628</f>
        <v>46120</v>
      </c>
      <c r="E631" s="470" t="str">
        <f>$N$1</f>
        <v>Rosey</v>
      </c>
      <c r="F631" s="505">
        <f>IFERROR(AVERAGE(Rankings!$K631:$R631), "TBD")</f>
        <v>2</v>
      </c>
      <c r="G631" s="505">
        <f>IFERROR(_xlfn.STDEV.P(Rankings!$K631:$R631), "TBD")</f>
        <v>1.069044968</v>
      </c>
      <c r="H631" s="505">
        <f>IFERROR(AVERAGE(Rankings!$K631:$M631, Rankings!$O631:$R631), "TBD")</f>
        <v>2.166666667</v>
      </c>
      <c r="I631" s="506" t="s">
        <v>1551</v>
      </c>
      <c r="J631" s="506" t="s">
        <v>1552</v>
      </c>
      <c r="K631" s="494">
        <v>3.0</v>
      </c>
      <c r="L631" s="495">
        <v>1.0</v>
      </c>
      <c r="M631" s="495">
        <v>2.0</v>
      </c>
      <c r="N631" s="495">
        <v>1.0</v>
      </c>
      <c r="O631" s="495">
        <v>1.0</v>
      </c>
      <c r="P631" s="495">
        <v>2.0</v>
      </c>
      <c r="Q631" s="496">
        <v>4.0</v>
      </c>
      <c r="R631" s="497"/>
      <c r="S631" s="498">
        <f>IF(ISTEXT($V631), "TBD", RANK(V631,$V628:$V634))</f>
        <v>1</v>
      </c>
      <c r="T631" s="499">
        <v>1.0</v>
      </c>
      <c r="U631" s="500" t="b">
        <f>Rankings!$S631=Rankings!$T631</f>
        <v>1</v>
      </c>
      <c r="V631" s="490">
        <f>IF(ISTEXT(Rankings!F631), "TBD", (RANK($F631,$F628:$F634) + IF(ISTEXT($H631), 0, (RANK($H631,$H628:$H634)/10)) + (RANK($G631,$G628:$G634)/100)))</f>
        <v>6.65</v>
      </c>
      <c r="W631" s="153"/>
    </row>
    <row r="632" ht="15.75" customHeight="1">
      <c r="A632" s="134"/>
      <c r="B632" s="134"/>
      <c r="C632" s="134"/>
      <c r="D632" s="507">
        <f t="shared" ref="D632:D634" si="92">D628</f>
        <v>46120</v>
      </c>
      <c r="E632" s="471" t="str">
        <f>$O$1</f>
        <v>TTAC</v>
      </c>
      <c r="F632" s="508">
        <f>IFERROR(AVERAGE(Rankings!$K632:$R632), "TBD")</f>
        <v>4.428571429</v>
      </c>
      <c r="G632" s="508">
        <f>IFERROR(_xlfn.STDEV.P(Rankings!$K632:$R632), "TBD")</f>
        <v>1.049781318</v>
      </c>
      <c r="H632" s="508">
        <f>IFERROR(AVERAGE(Rankings!$K632:$N632, Rankings!$P632:$R632), "TBD")</f>
        <v>4.666666667</v>
      </c>
      <c r="I632" s="509" t="s">
        <v>1553</v>
      </c>
      <c r="J632" s="509" t="s">
        <v>1554</v>
      </c>
      <c r="K632" s="494">
        <v>6.0</v>
      </c>
      <c r="L632" s="495">
        <v>5.0</v>
      </c>
      <c r="M632" s="495">
        <v>4.0</v>
      </c>
      <c r="N632" s="495">
        <v>5.0</v>
      </c>
      <c r="O632" s="495">
        <v>3.0</v>
      </c>
      <c r="P632" s="495">
        <v>5.0</v>
      </c>
      <c r="Q632" s="496">
        <v>3.0</v>
      </c>
      <c r="R632" s="497"/>
      <c r="S632" s="498">
        <f>IF(ISTEXT($V632), "TBD", RANK(V632,$V628:$V634))</f>
        <v>4</v>
      </c>
      <c r="T632" s="499">
        <v>1.0</v>
      </c>
      <c r="U632" s="500" t="b">
        <f>Rankings!$S632=Rankings!$T632</f>
        <v>0</v>
      </c>
      <c r="V632" s="490">
        <f>IF(ISTEXT(Rankings!F632), "TBD", (RANK($F632,$F628:$F634) + IF(ISTEXT($H632), 0, (RANK($H632,$H628:$H634)/10)) + (RANK($G632,$G628:$G634)/100)))</f>
        <v>4.47</v>
      </c>
      <c r="W632" s="153"/>
    </row>
    <row r="633" ht="15.75" customHeight="1">
      <c r="A633" s="134"/>
      <c r="B633" s="134"/>
      <c r="C633" s="134"/>
      <c r="D633" s="510">
        <f t="shared" si="92"/>
        <v>46120</v>
      </c>
      <c r="E633" s="472" t="str">
        <f>$P$1</f>
        <v>Weston</v>
      </c>
      <c r="F633" s="511">
        <f>IFERROR(AVERAGE(Rankings!$K633:$R633), "TBD")</f>
        <v>5.571428571</v>
      </c>
      <c r="G633" s="511">
        <f>IFERROR(_xlfn.STDEV.P(Rankings!$K633:$R633), "TBD")</f>
        <v>1.293626448</v>
      </c>
      <c r="H633" s="511">
        <f>IFERROR(AVERAGE(Rankings!$K633:$O633, Rankings!$Q633:$R633), "TBD")</f>
        <v>6</v>
      </c>
      <c r="I633" s="512" t="s">
        <v>1555</v>
      </c>
      <c r="J633" s="512" t="s">
        <v>1556</v>
      </c>
      <c r="K633" s="494">
        <v>7.0</v>
      </c>
      <c r="L633" s="495">
        <v>7.0</v>
      </c>
      <c r="M633" s="495">
        <v>5.0</v>
      </c>
      <c r="N633" s="495">
        <v>6.0</v>
      </c>
      <c r="O633" s="495">
        <v>6.0</v>
      </c>
      <c r="P633" s="495">
        <v>3.0</v>
      </c>
      <c r="Q633" s="496">
        <v>5.0</v>
      </c>
      <c r="R633" s="497"/>
      <c r="S633" s="498">
        <f>IF(ISTEXT($V633), "TBD", RANK(V633,$V628:$V634))</f>
        <v>7</v>
      </c>
      <c r="T633" s="499">
        <v>1.0</v>
      </c>
      <c r="U633" s="500" t="b">
        <f>Rankings!$S633=Rankings!$T633</f>
        <v>0</v>
      </c>
      <c r="V633" s="490">
        <f>IF(ISTEXT(Rankings!F633), "TBD", (RANK($F633,$F628:$F634) + IF(ISTEXT($H633), 0, (RANK($H633,$H628:$H634)/10)) + (RANK($G633,$G628:$G634)/100)))</f>
        <v>1.14</v>
      </c>
      <c r="W633" s="153"/>
    </row>
    <row r="634" ht="15.75" customHeight="1">
      <c r="A634" s="189"/>
      <c r="B634" s="189"/>
      <c r="C634" s="189"/>
      <c r="D634" s="514">
        <f t="shared" si="92"/>
        <v>46120</v>
      </c>
      <c r="E634" s="131" t="str">
        <f>$Q$1</f>
        <v>Flocco</v>
      </c>
      <c r="F634" s="515">
        <f>IFERROR(AVERAGE(Rankings!$K634:$R634), "TBD")</f>
        <v>5.142857143</v>
      </c>
      <c r="G634" s="515">
        <f>IFERROR(_xlfn.STDEV.P(Rankings!$K634:$R634), "TBD")</f>
        <v>1.641303613</v>
      </c>
      <c r="H634" s="515">
        <f>IFERROR(AVERAGE(Rankings!$K634:$P634, Rankings!$R634), "TBD")</f>
        <v>5.666666667</v>
      </c>
      <c r="I634" s="516" t="s">
        <v>1557</v>
      </c>
      <c r="J634" s="516" t="s">
        <v>1558</v>
      </c>
      <c r="K634" s="494">
        <v>5.0</v>
      </c>
      <c r="L634" s="495">
        <v>6.0</v>
      </c>
      <c r="M634" s="495">
        <v>7.0</v>
      </c>
      <c r="N634" s="495">
        <v>4.0</v>
      </c>
      <c r="O634" s="495">
        <v>5.0</v>
      </c>
      <c r="P634" s="495">
        <v>7.0</v>
      </c>
      <c r="Q634" s="496">
        <v>2.0</v>
      </c>
      <c r="R634" s="497"/>
      <c r="S634" s="498">
        <f>IF(ISTEXT($V634), "TBD", RANK(V634,$V628:$V634))</f>
        <v>5</v>
      </c>
      <c r="T634" s="499">
        <v>1.0</v>
      </c>
      <c r="U634" s="500" t="b">
        <f>Rankings!$S634=Rankings!$T634</f>
        <v>0</v>
      </c>
      <c r="V634" s="490">
        <f>IF(ISTEXT(Rankings!F634), "TBD", (RANK($F634,$F628:$F634) + IF(ISTEXT($H634), 0, (RANK($H634,$H628:$H634)/10)) + (RANK($G634,$G628:$G634)/100)))</f>
        <v>3.23</v>
      </c>
      <c r="W634" s="208"/>
    </row>
    <row r="635" ht="15.75" customHeight="1">
      <c r="A635" s="103">
        <v>46122.0</v>
      </c>
      <c r="B635" s="453"/>
      <c r="C635" s="454" t="str">
        <f t="array" ref="C635">INDEX(Rankings!$E635:$E641, MATCH(1, (Rankings!$D635:$D641=$A635)*(Rankings!$U635:$U641=TRUE()), 0))</f>
        <v>Flocco</v>
      </c>
      <c r="D635" s="480">
        <f>A635</f>
        <v>46122</v>
      </c>
      <c r="E635" s="455" t="str">
        <f>$K$1</f>
        <v>Logan</v>
      </c>
      <c r="F635" s="481">
        <f>IFERROR(AVERAGE(Rankings!$K635:$R635), "TBD")</f>
        <v>3.142857143</v>
      </c>
      <c r="G635" s="481">
        <f>IFERROR(_xlfn.STDEV.P(Rankings!$K635:$R635), "TBD")</f>
        <v>1.884415137</v>
      </c>
      <c r="H635" s="481">
        <f>IFERROR(AVERAGE(Rankings!$L635:$R635), "TBD")</f>
        <v>3.5</v>
      </c>
      <c r="I635" s="482" t="s">
        <v>1559</v>
      </c>
      <c r="J635" s="482" t="s">
        <v>1560</v>
      </c>
      <c r="K635" s="483">
        <v>1.0</v>
      </c>
      <c r="L635" s="484">
        <v>3.0</v>
      </c>
      <c r="M635" s="484">
        <v>7.0</v>
      </c>
      <c r="N635" s="484">
        <v>4.0</v>
      </c>
      <c r="O635" s="484">
        <v>1.0</v>
      </c>
      <c r="P635" s="484">
        <v>3.0</v>
      </c>
      <c r="Q635" s="485">
        <v>3.0</v>
      </c>
      <c r="R635" s="486"/>
      <c r="S635" s="487">
        <f>IF(ISTEXT($V635), "TBD", RANK(V635,$V635:$V641))</f>
        <v>2</v>
      </c>
      <c r="T635" s="488">
        <v>1.0</v>
      </c>
      <c r="U635" s="489" t="b">
        <f>Rankings!$S635=Rankings!$T635</f>
        <v>0</v>
      </c>
      <c r="V635" s="490">
        <f>IF(ISTEXT(Rankings!F635), "TBD", (RANK($F635,$F635:$F641) + IF(ISTEXT($H635), 0, (RANK($H635,$H635:$H641)/10)) + (RANK($G635,$G635:$G641)/100)))</f>
        <v>6.61</v>
      </c>
      <c r="W635" s="517"/>
    </row>
    <row r="636" ht="15.75" customHeight="1">
      <c r="A636" s="134"/>
      <c r="B636" s="134"/>
      <c r="C636" s="134"/>
      <c r="D636" s="491">
        <f>D635</f>
        <v>46122</v>
      </c>
      <c r="E636" s="463" t="str">
        <f>$L$1</f>
        <v>Parker</v>
      </c>
      <c r="F636" s="492">
        <f>IFERROR(AVERAGE(Rankings!$K636:$R636), "TBD")</f>
        <v>4.142857143</v>
      </c>
      <c r="G636" s="492">
        <f>IFERROR(_xlfn.STDEV.P(Rankings!$K636:$R636), "TBD")</f>
        <v>1.641303613</v>
      </c>
      <c r="H636" s="492">
        <f>IFERROR(AVERAGE(Rankings!$K636, Rankings!$M636:$R636), "TBD")</f>
        <v>4.5</v>
      </c>
      <c r="I636" s="493" t="s">
        <v>1561</v>
      </c>
      <c r="J636" s="493" t="s">
        <v>1562</v>
      </c>
      <c r="K636" s="494">
        <v>4.0</v>
      </c>
      <c r="L636" s="495">
        <v>2.0</v>
      </c>
      <c r="M636" s="495">
        <v>4.0</v>
      </c>
      <c r="N636" s="495">
        <v>2.0</v>
      </c>
      <c r="O636" s="495">
        <v>5.0</v>
      </c>
      <c r="P636" s="495">
        <v>5.0</v>
      </c>
      <c r="Q636" s="496">
        <v>7.0</v>
      </c>
      <c r="R636" s="497"/>
      <c r="S636" s="498">
        <f>IF(ISTEXT($V636), "TBD", RANK(V636,$V635:$V641))</f>
        <v>5</v>
      </c>
      <c r="T636" s="499">
        <v>1.0</v>
      </c>
      <c r="U636" s="500" t="b">
        <f>Rankings!$S636=Rankings!$T636</f>
        <v>0</v>
      </c>
      <c r="V636" s="490">
        <f>IF(ISTEXT(Rankings!F636), "TBD", (RANK($F636,$F635:$F641) + IF(ISTEXT($H636), 0, (RANK($H636,$H635:$H641)/10)) + (RANK($G636,$G635:$G641)/100)))</f>
        <v>3.34</v>
      </c>
      <c r="W636" s="153"/>
    </row>
    <row r="637" ht="15.75" customHeight="1">
      <c r="A637" s="134"/>
      <c r="B637" s="134"/>
      <c r="C637" s="134"/>
      <c r="D637" s="501">
        <f>D635</f>
        <v>46122</v>
      </c>
      <c r="E637" s="469" t="str">
        <f>$M$1</f>
        <v>Giacomo</v>
      </c>
      <c r="F637" s="502">
        <f>IFERROR(AVERAGE(Rankings!$K637:$R637), "TBD")</f>
        <v>5.571428571</v>
      </c>
      <c r="G637" s="502">
        <f>IFERROR(_xlfn.STDEV.P(Rankings!$K637:$R637), "TBD")</f>
        <v>1.678191446</v>
      </c>
      <c r="H637" s="502">
        <f>IFERROR(AVERAGE(Rankings!$K637:$L637, Rankings!$N637:$R637), "TBD")</f>
        <v>6.166666667</v>
      </c>
      <c r="I637" s="503" t="s">
        <v>1563</v>
      </c>
      <c r="J637" s="503" t="s">
        <v>1564</v>
      </c>
      <c r="K637" s="494">
        <v>7.0</v>
      </c>
      <c r="L637" s="495">
        <v>5.0</v>
      </c>
      <c r="M637" s="495">
        <v>2.0</v>
      </c>
      <c r="N637" s="495">
        <v>5.0</v>
      </c>
      <c r="O637" s="495">
        <v>7.0</v>
      </c>
      <c r="P637" s="495">
        <v>7.0</v>
      </c>
      <c r="Q637" s="496">
        <v>6.0</v>
      </c>
      <c r="R637" s="497"/>
      <c r="S637" s="498">
        <f>IF(ISTEXT($V637), "TBD", RANK(V637,$V635:$V641))</f>
        <v>6</v>
      </c>
      <c r="T637" s="499">
        <v>1.0</v>
      </c>
      <c r="U637" s="500" t="b">
        <f>Rankings!$S637=Rankings!$T637</f>
        <v>0</v>
      </c>
      <c r="V637" s="490">
        <f>IF(ISTEXT(Rankings!F637), "TBD", (RANK($F637,$F635:$F641) + IF(ISTEXT($H637), 0, (RANK($H637,$H635:$H641)/10)) + (RANK($G637,$G635:$G641)/100)))</f>
        <v>2.13</v>
      </c>
      <c r="W637" s="153"/>
    </row>
    <row r="638" ht="15.75" customHeight="1">
      <c r="A638" s="134"/>
      <c r="B638" s="134"/>
      <c r="C638" s="134"/>
      <c r="D638" s="504">
        <f>D635</f>
        <v>46122</v>
      </c>
      <c r="E638" s="470" t="str">
        <f>$N$1</f>
        <v>Rosey</v>
      </c>
      <c r="F638" s="505">
        <f>IFERROR(AVERAGE(Rankings!$K638:$R638), "TBD")</f>
        <v>3.571428571</v>
      </c>
      <c r="G638" s="505">
        <f>IFERROR(_xlfn.STDEV.P(Rankings!$K638:$R638), "TBD")</f>
        <v>1.399708424</v>
      </c>
      <c r="H638" s="505">
        <f>IFERROR(AVERAGE(Rankings!$K638:$M638, Rankings!$O638:$R638), "TBD")</f>
        <v>4</v>
      </c>
      <c r="I638" s="506" t="s">
        <v>1565</v>
      </c>
      <c r="J638" s="506" t="s">
        <v>1132</v>
      </c>
      <c r="K638" s="494">
        <v>6.0</v>
      </c>
      <c r="L638" s="495">
        <v>4.0</v>
      </c>
      <c r="M638" s="495">
        <v>3.0</v>
      </c>
      <c r="N638" s="495">
        <v>1.0</v>
      </c>
      <c r="O638" s="495">
        <v>3.0</v>
      </c>
      <c r="P638" s="495">
        <v>4.0</v>
      </c>
      <c r="Q638" s="496">
        <v>4.0</v>
      </c>
      <c r="R638" s="497"/>
      <c r="S638" s="498">
        <f>IF(ISTEXT($V638), "TBD", RANK(V638,$V635:$V641))</f>
        <v>3</v>
      </c>
      <c r="T638" s="499">
        <v>1.0</v>
      </c>
      <c r="U638" s="500" t="b">
        <f>Rankings!$S638=Rankings!$T638</f>
        <v>0</v>
      </c>
      <c r="V638" s="490">
        <f>IF(ISTEXT(Rankings!F638), "TBD", (RANK($F638,$F635:$F641) + IF(ISTEXT($H638), 0, (RANK($H638,$H635:$H641)/10)) + (RANK($G638,$G635:$G641)/100)))</f>
        <v>5.45</v>
      </c>
      <c r="W638" s="153"/>
    </row>
    <row r="639" ht="15.75" customHeight="1">
      <c r="A639" s="134"/>
      <c r="B639" s="134"/>
      <c r="C639" s="134"/>
      <c r="D639" s="507">
        <f t="shared" ref="D639:D641" si="93">D635</f>
        <v>46122</v>
      </c>
      <c r="E639" s="471" t="str">
        <f>$O$1</f>
        <v>TTAC</v>
      </c>
      <c r="F639" s="508">
        <f>IFERROR(AVERAGE(Rankings!$K639:$R639), "TBD")</f>
        <v>3.857142857</v>
      </c>
      <c r="G639" s="508">
        <f>IFERROR(_xlfn.STDEV.P(Rankings!$K639:$R639), "TBD")</f>
        <v>1.726149425</v>
      </c>
      <c r="H639" s="508">
        <f>IFERROR(AVERAGE(Rankings!$K639:$N639, Rankings!$P639:$R639), "TBD")</f>
        <v>3.833333333</v>
      </c>
      <c r="I639" s="509" t="s">
        <v>1566</v>
      </c>
      <c r="J639" s="509" t="s">
        <v>1567</v>
      </c>
      <c r="K639" s="494">
        <v>2.0</v>
      </c>
      <c r="L639" s="495">
        <v>6.0</v>
      </c>
      <c r="M639" s="495">
        <v>5.0</v>
      </c>
      <c r="N639" s="495">
        <v>6.0</v>
      </c>
      <c r="O639" s="495">
        <v>4.0</v>
      </c>
      <c r="P639" s="495">
        <v>2.0</v>
      </c>
      <c r="Q639" s="496">
        <v>2.0</v>
      </c>
      <c r="R639" s="497"/>
      <c r="S639" s="498">
        <f>IF(ISTEXT($V639), "TBD", RANK(V639,$V635:$V641))</f>
        <v>4</v>
      </c>
      <c r="T639" s="499">
        <v>1.0</v>
      </c>
      <c r="U639" s="500" t="b">
        <f>Rankings!$S639=Rankings!$T639</f>
        <v>0</v>
      </c>
      <c r="V639" s="490">
        <f>IF(ISTEXT(Rankings!F639), "TBD", (RANK($F639,$F635:$F641) + IF(ISTEXT($H639), 0, (RANK($H639,$H635:$H641)/10)) + (RANK($G639,$G635:$G641)/100)))</f>
        <v>4.52</v>
      </c>
      <c r="W639" s="153"/>
    </row>
    <row r="640" ht="15.75" customHeight="1">
      <c r="A640" s="134"/>
      <c r="B640" s="134"/>
      <c r="C640" s="134"/>
      <c r="D640" s="510">
        <f t="shared" si="93"/>
        <v>46122</v>
      </c>
      <c r="E640" s="472" t="str">
        <f>$P$1</f>
        <v>Weston</v>
      </c>
      <c r="F640" s="511">
        <f>IFERROR(AVERAGE(Rankings!$K640:$R640), "TBD")</f>
        <v>6</v>
      </c>
      <c r="G640" s="511">
        <f>IFERROR(_xlfn.STDEV.P(Rankings!$K640:$R640), "TBD")</f>
        <v>0.755928946</v>
      </c>
      <c r="H640" s="511">
        <f>IFERROR(AVERAGE(Rankings!$K640:$O640, Rankings!$Q640:$R640), "TBD")</f>
        <v>6</v>
      </c>
      <c r="I640" s="512" t="s">
        <v>1568</v>
      </c>
      <c r="J640" s="512" t="s">
        <v>1569</v>
      </c>
      <c r="K640" s="494">
        <v>5.0</v>
      </c>
      <c r="L640" s="495">
        <v>7.0</v>
      </c>
      <c r="M640" s="495">
        <v>6.0</v>
      </c>
      <c r="N640" s="495">
        <v>7.0</v>
      </c>
      <c r="O640" s="495">
        <v>6.0</v>
      </c>
      <c r="P640" s="495">
        <v>6.0</v>
      </c>
      <c r="Q640" s="496">
        <v>5.0</v>
      </c>
      <c r="R640" s="497"/>
      <c r="S640" s="498">
        <f>IF(ISTEXT($V640), "TBD", RANK(V640,$V635:$V641))</f>
        <v>7</v>
      </c>
      <c r="T640" s="499">
        <v>1.0</v>
      </c>
      <c r="U640" s="500" t="b">
        <f>Rankings!$S640=Rankings!$T640</f>
        <v>0</v>
      </c>
      <c r="V640" s="490">
        <f>IF(ISTEXT(Rankings!F640), "TBD", (RANK($F640,$F635:$F641) + IF(ISTEXT($H640), 0, (RANK($H640,$H635:$H641)/10)) + (RANK($G640,$G635:$G641)/100)))</f>
        <v>1.27</v>
      </c>
      <c r="W640" s="153"/>
    </row>
    <row r="641" ht="15.75" customHeight="1">
      <c r="A641" s="189"/>
      <c r="B641" s="189"/>
      <c r="C641" s="189"/>
      <c r="D641" s="514">
        <f t="shared" si="93"/>
        <v>46122</v>
      </c>
      <c r="E641" s="131" t="str">
        <f>$Q$1</f>
        <v>Flocco</v>
      </c>
      <c r="F641" s="515">
        <f>IFERROR(AVERAGE(Rankings!$K641:$R641), "TBD")</f>
        <v>1.714285714</v>
      </c>
      <c r="G641" s="515">
        <f>IFERROR(_xlfn.STDEV.P(Rankings!$K641:$R641), "TBD")</f>
        <v>0.8806305719</v>
      </c>
      <c r="H641" s="515">
        <f>IFERROR(AVERAGE(Rankings!$K641:$P641, Rankings!$R641), "TBD")</f>
        <v>1.833333333</v>
      </c>
      <c r="I641" s="516" t="s">
        <v>1570</v>
      </c>
      <c r="J641" s="516" t="s">
        <v>1571</v>
      </c>
      <c r="K641" s="494">
        <v>3.0</v>
      </c>
      <c r="L641" s="495">
        <v>1.0</v>
      </c>
      <c r="M641" s="495">
        <v>1.0</v>
      </c>
      <c r="N641" s="495">
        <v>3.0</v>
      </c>
      <c r="O641" s="495">
        <v>2.0</v>
      </c>
      <c r="P641" s="495">
        <v>1.0</v>
      </c>
      <c r="Q641" s="496">
        <v>1.0</v>
      </c>
      <c r="R641" s="497"/>
      <c r="S641" s="498">
        <f>IF(ISTEXT($V641), "TBD", RANK(V641,$V635:$V641))</f>
        <v>1</v>
      </c>
      <c r="T641" s="499">
        <v>1.0</v>
      </c>
      <c r="U641" s="500" t="b">
        <f>Rankings!$S641=Rankings!$T641</f>
        <v>1</v>
      </c>
      <c r="V641" s="490">
        <f>IF(ISTEXT(Rankings!F641), "TBD", (RANK($F641,$F635:$F641) + IF(ISTEXT($H641), 0, (RANK($H641,$H635:$H641)/10)) + (RANK($G641,$G635:$G641)/100)))</f>
        <v>7.76</v>
      </c>
      <c r="W641" s="208"/>
    </row>
    <row r="642" ht="15.75" customHeight="1">
      <c r="A642" s="103">
        <v>46125.0</v>
      </c>
      <c r="B642" s="453"/>
      <c r="C642" s="454" t="str">
        <f t="array" ref="C642">INDEX(Rankings!$E642:$E648, MATCH(1, (Rankings!$D642:$D648=$A642)*(Rankings!$U642:$U648=TRUE()), 0))</f>
        <v>Weston</v>
      </c>
      <c r="D642" s="480">
        <f>A642</f>
        <v>46125</v>
      </c>
      <c r="E642" s="455" t="str">
        <f>$K$1</f>
        <v>Logan</v>
      </c>
      <c r="F642" s="481">
        <f>IFERROR(AVERAGE(Rankings!$K642:$R642), "TBD")</f>
        <v>3.857142857</v>
      </c>
      <c r="G642" s="481">
        <f>IFERROR(_xlfn.STDEV.P(Rankings!$K642:$R642), "TBD")</f>
        <v>1.124858268</v>
      </c>
      <c r="H642" s="481">
        <f>IFERROR(AVERAGE(Rankings!$L642:$R642), "TBD")</f>
        <v>4.166666667</v>
      </c>
      <c r="I642" s="482" t="s">
        <v>1572</v>
      </c>
      <c r="J642" s="482" t="s">
        <v>1573</v>
      </c>
      <c r="K642" s="483">
        <v>2.0</v>
      </c>
      <c r="L642" s="484">
        <v>5.0</v>
      </c>
      <c r="M642" s="484">
        <v>3.0</v>
      </c>
      <c r="N642" s="484">
        <v>3.0</v>
      </c>
      <c r="O642" s="484">
        <v>5.0</v>
      </c>
      <c r="P642" s="484">
        <v>5.0</v>
      </c>
      <c r="Q642" s="485">
        <v>4.0</v>
      </c>
      <c r="R642" s="486"/>
      <c r="S642" s="487">
        <f>IF(ISTEXT($V642), "TBD", RANK(V642,$V642:$V648))</f>
        <v>5</v>
      </c>
      <c r="T642" s="488">
        <v>1.0</v>
      </c>
      <c r="U642" s="489" t="b">
        <f>Rankings!$S642=Rankings!$T642</f>
        <v>0</v>
      </c>
      <c r="V642" s="490">
        <f>IF(ISTEXT(Rankings!F642), "TBD", (RANK($F642,$F642:$F648) + IF(ISTEXT($H642), 0, (RANK($H642,$H642:$H648)/10)) + (RANK($G642,$G642:$G648)/100)))</f>
        <v>3.37</v>
      </c>
      <c r="W642" s="517"/>
    </row>
    <row r="643" ht="15.75" customHeight="1">
      <c r="A643" s="134"/>
      <c r="B643" s="134"/>
      <c r="C643" s="134"/>
      <c r="D643" s="491">
        <f>D642</f>
        <v>46125</v>
      </c>
      <c r="E643" s="463" t="str">
        <f>$L$1</f>
        <v>Parker</v>
      </c>
      <c r="F643" s="492">
        <f>IFERROR(AVERAGE(Rankings!$K643:$R643), "TBD")</f>
        <v>3.571428571</v>
      </c>
      <c r="G643" s="492">
        <f>IFERROR(_xlfn.STDEV.P(Rankings!$K643:$R643), "TBD")</f>
        <v>1.293626448</v>
      </c>
      <c r="H643" s="492">
        <f>IFERROR(AVERAGE(Rankings!$K643, Rankings!$M643:$R643), "TBD")</f>
        <v>3.833333333</v>
      </c>
      <c r="I643" s="493" t="s">
        <v>1574</v>
      </c>
      <c r="J643" s="493" t="s">
        <v>1575</v>
      </c>
      <c r="K643" s="494">
        <v>5.0</v>
      </c>
      <c r="L643" s="495">
        <v>2.0</v>
      </c>
      <c r="M643" s="495">
        <v>5.0</v>
      </c>
      <c r="N643" s="495">
        <v>5.0</v>
      </c>
      <c r="O643" s="495">
        <v>2.0</v>
      </c>
      <c r="P643" s="495">
        <v>3.0</v>
      </c>
      <c r="Q643" s="496">
        <v>3.0</v>
      </c>
      <c r="R643" s="497"/>
      <c r="S643" s="498">
        <f>IF(ISTEXT($V643), "TBD", RANK(V643,$V642:$V648))</f>
        <v>2</v>
      </c>
      <c r="T643" s="499">
        <v>1.0</v>
      </c>
      <c r="U643" s="500" t="b">
        <f>Rankings!$S643=Rankings!$T643</f>
        <v>0</v>
      </c>
      <c r="V643" s="490">
        <f>IF(ISTEXT(Rankings!F643), "TBD", (RANK($F643,$F642:$F648) + IF(ISTEXT($H643), 0, (RANK($H643,$H642:$H648)/10)) + (RANK($G643,$G642:$G648)/100)))</f>
        <v>4.56</v>
      </c>
      <c r="W643" s="153"/>
    </row>
    <row r="644" ht="15.75" customHeight="1">
      <c r="A644" s="134"/>
      <c r="B644" s="134"/>
      <c r="C644" s="134"/>
      <c r="D644" s="501">
        <f>D642</f>
        <v>46125</v>
      </c>
      <c r="E644" s="469" t="str">
        <f>$M$1</f>
        <v>Giacomo</v>
      </c>
      <c r="F644" s="502">
        <f>IFERROR(AVERAGE(Rankings!$K644:$R644), "TBD")</f>
        <v>3.571428571</v>
      </c>
      <c r="G644" s="502">
        <f>IFERROR(_xlfn.STDEV.P(Rankings!$K644:$R644), "TBD")</f>
        <v>2.194613071</v>
      </c>
      <c r="H644" s="502">
        <f>IFERROR(AVERAGE(Rankings!$K644:$L644, Rankings!$N644:$R644), "TBD")</f>
        <v>4</v>
      </c>
      <c r="I644" s="503" t="s">
        <v>1576</v>
      </c>
      <c r="J644" s="503" t="s">
        <v>1577</v>
      </c>
      <c r="K644" s="494">
        <v>4.0</v>
      </c>
      <c r="L644" s="495">
        <v>1.0</v>
      </c>
      <c r="M644" s="495">
        <v>1.0</v>
      </c>
      <c r="N644" s="495">
        <v>4.0</v>
      </c>
      <c r="O644" s="495">
        <v>6.0</v>
      </c>
      <c r="P644" s="495">
        <v>2.0</v>
      </c>
      <c r="Q644" s="496">
        <v>7.0</v>
      </c>
      <c r="R644" s="497"/>
      <c r="S644" s="498">
        <f>IF(ISTEXT($V644), "TBD", RANK(V644,$V642:$V648))</f>
        <v>4</v>
      </c>
      <c r="T644" s="499">
        <v>1.0</v>
      </c>
      <c r="U644" s="500" t="b">
        <f>Rankings!$S644=Rankings!$T644</f>
        <v>0</v>
      </c>
      <c r="V644" s="490">
        <f>IF(ISTEXT(Rankings!F644), "TBD", (RANK($F644,$F642:$F648) + IF(ISTEXT($H644), 0, (RANK($H644,$H642:$H648)/10)) + (RANK($G644,$G642:$G648)/100)))</f>
        <v>4.42</v>
      </c>
      <c r="W644" s="153"/>
    </row>
    <row r="645" ht="15.75" customHeight="1">
      <c r="A645" s="134"/>
      <c r="B645" s="134"/>
      <c r="C645" s="134"/>
      <c r="D645" s="504">
        <f>D642</f>
        <v>46125</v>
      </c>
      <c r="E645" s="470" t="str">
        <f>$N$1</f>
        <v>Rosey</v>
      </c>
      <c r="F645" s="505">
        <f>IFERROR(AVERAGE(Rankings!$K645:$R645), "TBD")</f>
        <v>3.571428571</v>
      </c>
      <c r="G645" s="505">
        <f>IFERROR(_xlfn.STDEV.P(Rankings!$K645:$R645), "TBD")</f>
        <v>2.194613071</v>
      </c>
      <c r="H645" s="505">
        <f>IFERROR(AVERAGE(Rankings!$K645:$M645, Rankings!$O645:$R645), "TBD")</f>
        <v>3.833333333</v>
      </c>
      <c r="I645" s="506" t="s">
        <v>1578</v>
      </c>
      <c r="J645" s="506" t="s">
        <v>1579</v>
      </c>
      <c r="K645" s="494">
        <v>1.0</v>
      </c>
      <c r="L645" s="495">
        <v>7.0</v>
      </c>
      <c r="M645" s="495">
        <v>6.0</v>
      </c>
      <c r="N645" s="495">
        <v>2.0</v>
      </c>
      <c r="O645" s="495">
        <v>4.0</v>
      </c>
      <c r="P645" s="495">
        <v>4.0</v>
      </c>
      <c r="Q645" s="496">
        <v>1.0</v>
      </c>
      <c r="R645" s="497"/>
      <c r="S645" s="498">
        <f>IF(ISTEXT($V645), "TBD", RANK(V645,$V642:$V648))</f>
        <v>3</v>
      </c>
      <c r="T645" s="499">
        <v>1.0</v>
      </c>
      <c r="U645" s="500" t="b">
        <f>Rankings!$S645=Rankings!$T645</f>
        <v>0</v>
      </c>
      <c r="V645" s="490">
        <f>IF(ISTEXT(Rankings!F645), "TBD", (RANK($F645,$F642:$F648) + IF(ISTEXT($H645), 0, (RANK($H645,$H642:$H648)/10)) + (RANK($G645,$G642:$G648)/100)))</f>
        <v>4.51</v>
      </c>
      <c r="W645" s="153"/>
    </row>
    <row r="646" ht="15.75" customHeight="1">
      <c r="A646" s="134"/>
      <c r="B646" s="134"/>
      <c r="C646" s="134"/>
      <c r="D646" s="507">
        <f t="shared" ref="D646:D648" si="94">D642</f>
        <v>46125</v>
      </c>
      <c r="E646" s="471" t="str">
        <f>$O$1</f>
        <v>TTAC</v>
      </c>
      <c r="F646" s="508">
        <f>IFERROR(AVERAGE(Rankings!$K646:$R646), "TBD")</f>
        <v>5.571428571</v>
      </c>
      <c r="G646" s="508">
        <f>IFERROR(_xlfn.STDEV.P(Rankings!$K646:$R646), "TBD")</f>
        <v>1.989769754</v>
      </c>
      <c r="H646" s="508">
        <f>IFERROR(AVERAGE(Rankings!$K646:$N646, Rankings!$P646:$R646), "TBD")</f>
        <v>6.333333333</v>
      </c>
      <c r="I646" s="509" t="s">
        <v>1580</v>
      </c>
      <c r="J646" s="509" t="s">
        <v>1581</v>
      </c>
      <c r="K646" s="494">
        <v>7.0</v>
      </c>
      <c r="L646" s="495">
        <v>6.0</v>
      </c>
      <c r="M646" s="495">
        <v>7.0</v>
      </c>
      <c r="N646" s="495">
        <v>6.0</v>
      </c>
      <c r="O646" s="495">
        <v>1.0</v>
      </c>
      <c r="P646" s="495">
        <v>7.0</v>
      </c>
      <c r="Q646" s="496">
        <v>5.0</v>
      </c>
      <c r="R646" s="497"/>
      <c r="S646" s="498">
        <f>IF(ISTEXT($V646), "TBD", RANK(V646,$V642:$V648))</f>
        <v>7</v>
      </c>
      <c r="T646" s="499">
        <v>1.0</v>
      </c>
      <c r="U646" s="500" t="b">
        <f>Rankings!$S646=Rankings!$T646</f>
        <v>0</v>
      </c>
      <c r="V646" s="490">
        <f>IF(ISTEXT(Rankings!F646), "TBD", (RANK($F646,$F642:$F648) + IF(ISTEXT($H646), 0, (RANK($H646,$H642:$H648)/10)) + (RANK($G646,$G642:$G648)/100)))</f>
        <v>1.13</v>
      </c>
      <c r="W646" s="153"/>
    </row>
    <row r="647" ht="15.75" customHeight="1">
      <c r="A647" s="134"/>
      <c r="B647" s="134"/>
      <c r="C647" s="134"/>
      <c r="D647" s="510">
        <f t="shared" si="94"/>
        <v>46125</v>
      </c>
      <c r="E647" s="472" t="str">
        <f>$P$1</f>
        <v>Weston</v>
      </c>
      <c r="F647" s="511">
        <f>IFERROR(AVERAGE(Rankings!$K647:$R647), "TBD")</f>
        <v>3</v>
      </c>
      <c r="G647" s="511">
        <f>IFERROR(_xlfn.STDEV.P(Rankings!$K647:$R647), "TBD")</f>
        <v>1.927248223</v>
      </c>
      <c r="H647" s="511">
        <f>IFERROR(AVERAGE(Rankings!$K647:$O647, Rankings!$Q647:$R647), "TBD")</f>
        <v>3.333333333</v>
      </c>
      <c r="I647" s="512" t="s">
        <v>1582</v>
      </c>
      <c r="J647" s="512" t="s">
        <v>1583</v>
      </c>
      <c r="K647" s="494">
        <v>3.0</v>
      </c>
      <c r="L647" s="495">
        <v>4.0</v>
      </c>
      <c r="M647" s="495">
        <v>2.0</v>
      </c>
      <c r="N647" s="495">
        <v>1.0</v>
      </c>
      <c r="O647" s="495">
        <v>7.0</v>
      </c>
      <c r="P647" s="495">
        <v>1.0</v>
      </c>
      <c r="Q647" s="496">
        <v>3.0</v>
      </c>
      <c r="R647" s="497"/>
      <c r="S647" s="498">
        <f>IF(ISTEXT($V647), "TBD", RANK(V647,$V642:$V648))</f>
        <v>1</v>
      </c>
      <c r="T647" s="499">
        <v>1.0</v>
      </c>
      <c r="U647" s="500" t="b">
        <f>Rankings!$S647=Rankings!$T647</f>
        <v>1</v>
      </c>
      <c r="V647" s="490">
        <f>IF(ISTEXT(Rankings!F647), "TBD", (RANK($F647,$F642:$F648) + IF(ISTEXT($H647), 0, (RANK($H647,$H642:$H648)/10)) + (RANK($G647,$G642:$G648)/100)))</f>
        <v>7.74</v>
      </c>
      <c r="W647" s="153"/>
    </row>
    <row r="648" ht="15.75" customHeight="1">
      <c r="A648" s="189"/>
      <c r="B648" s="189"/>
      <c r="C648" s="189"/>
      <c r="D648" s="514">
        <f t="shared" si="94"/>
        <v>46125</v>
      </c>
      <c r="E648" s="131" t="str">
        <f>$Q$1</f>
        <v>Flocco</v>
      </c>
      <c r="F648" s="515">
        <f>IFERROR(AVERAGE(Rankings!$K648:$R648), "TBD")</f>
        <v>4.428571429</v>
      </c>
      <c r="G648" s="515">
        <f>IFERROR(_xlfn.STDEV.P(Rankings!$K648:$R648), "TBD")</f>
        <v>1.761261144</v>
      </c>
      <c r="H648" s="515">
        <f>IFERROR(AVERAGE(Rankings!$K648:$P648, Rankings!$R648), "TBD")</f>
        <v>4.833333333</v>
      </c>
      <c r="I648" s="516" t="s">
        <v>1584</v>
      </c>
      <c r="J648" s="516" t="s">
        <v>1585</v>
      </c>
      <c r="K648" s="494">
        <v>6.0</v>
      </c>
      <c r="L648" s="495">
        <v>3.0</v>
      </c>
      <c r="M648" s="495">
        <v>4.0</v>
      </c>
      <c r="N648" s="495">
        <v>7.0</v>
      </c>
      <c r="O648" s="495">
        <v>3.0</v>
      </c>
      <c r="P648" s="495">
        <v>6.0</v>
      </c>
      <c r="Q648" s="496">
        <v>2.0</v>
      </c>
      <c r="R648" s="497"/>
      <c r="S648" s="498">
        <f>IF(ISTEXT($V648), "TBD", RANK(V648,$V642:$V648))</f>
        <v>6</v>
      </c>
      <c r="T648" s="499">
        <v>1.0</v>
      </c>
      <c r="U648" s="500" t="b">
        <f>Rankings!$S648=Rankings!$T648</f>
        <v>0</v>
      </c>
      <c r="V648" s="490">
        <f>IF(ISTEXT(Rankings!F648), "TBD", (RANK($F648,$F642:$F648) + IF(ISTEXT($H648), 0, (RANK($H648,$H642:$H648)/10)) + (RANK($G648,$G642:$G648)/100)))</f>
        <v>2.25</v>
      </c>
      <c r="W648" s="208"/>
    </row>
    <row r="649" ht="15.75" customHeight="1">
      <c r="A649" s="103">
        <v>46127.0</v>
      </c>
      <c r="B649" s="453"/>
      <c r="C649" s="454" t="str">
        <f t="array" ref="C649">INDEX(Rankings!$E649:$E655, MATCH(1, (Rankings!$D649:$D655=$A649)*(Rankings!$U649:$U655=TRUE()), 0))</f>
        <v>Rosey</v>
      </c>
      <c r="D649" s="480">
        <f>A649</f>
        <v>46127</v>
      </c>
      <c r="E649" s="455" t="str">
        <f>$K$1</f>
        <v>Logan</v>
      </c>
      <c r="F649" s="481">
        <f>IFERROR(AVERAGE(Rankings!$K649:$R649), "TBD")</f>
        <v>4.571428571</v>
      </c>
      <c r="G649" s="481">
        <f>IFERROR(_xlfn.STDEV.P(Rankings!$K649:$R649), "TBD")</f>
        <v>1.498298355</v>
      </c>
      <c r="H649" s="481">
        <f>IFERROR(AVERAGE(Rankings!$L649:$R649), "TBD")</f>
        <v>5</v>
      </c>
      <c r="I649" s="482" t="s">
        <v>1586</v>
      </c>
      <c r="J649" s="482" t="s">
        <v>1587</v>
      </c>
      <c r="K649" s="483">
        <v>2.0</v>
      </c>
      <c r="L649" s="484">
        <v>3.0</v>
      </c>
      <c r="M649" s="484">
        <v>6.0</v>
      </c>
      <c r="N649" s="484">
        <v>6.0</v>
      </c>
      <c r="O649" s="484">
        <v>5.0</v>
      </c>
      <c r="P649" s="484">
        <v>4.0</v>
      </c>
      <c r="Q649" s="485">
        <v>6.0</v>
      </c>
      <c r="R649" s="486"/>
      <c r="S649" s="487">
        <f>IF(ISTEXT($V649), "TBD", RANK(V649,$V649:$V655))</f>
        <v>5</v>
      </c>
      <c r="T649" s="488">
        <v>1.0</v>
      </c>
      <c r="U649" s="489" t="b">
        <f>Rankings!$S649=Rankings!$T649</f>
        <v>0</v>
      </c>
      <c r="V649" s="490">
        <f>IF(ISTEXT(Rankings!F649), "TBD", (RANK($F649,$F649:$F655) + IF(ISTEXT($H649), 0, (RANK($H649,$H649:$H655)/10)) + (RANK($G649,$G649:$G655)/100)))</f>
        <v>2.36</v>
      </c>
      <c r="W649" s="517"/>
    </row>
    <row r="650" ht="15.75" customHeight="1">
      <c r="A650" s="134"/>
      <c r="B650" s="134"/>
      <c r="C650" s="134"/>
      <c r="D650" s="491">
        <f>D649</f>
        <v>46127</v>
      </c>
      <c r="E650" s="463" t="str">
        <f>$L$1</f>
        <v>Parker</v>
      </c>
      <c r="F650" s="492">
        <f>IFERROR(AVERAGE(Rankings!$K650:$R650), "TBD")</f>
        <v>3.428571429</v>
      </c>
      <c r="G650" s="492">
        <f>IFERROR(_xlfn.STDEV.P(Rankings!$K650:$R650), "TBD")</f>
        <v>2.194613071</v>
      </c>
      <c r="H650" s="492">
        <f>IFERROR(AVERAGE(Rankings!$K650, Rankings!$M650:$R650), "TBD")</f>
        <v>3.833333333</v>
      </c>
      <c r="I650" s="493" t="s">
        <v>1588</v>
      </c>
      <c r="J650" s="493" t="s">
        <v>1589</v>
      </c>
      <c r="K650" s="494">
        <v>6.0</v>
      </c>
      <c r="L650" s="495">
        <v>1.0</v>
      </c>
      <c r="M650" s="495">
        <v>2.0</v>
      </c>
      <c r="N650" s="495">
        <v>7.0</v>
      </c>
      <c r="O650" s="495">
        <v>3.0</v>
      </c>
      <c r="P650" s="495">
        <v>1.0</v>
      </c>
      <c r="Q650" s="496">
        <v>4.0</v>
      </c>
      <c r="R650" s="497"/>
      <c r="S650" s="498">
        <f>IF(ISTEXT($V650), "TBD", RANK(V650,$V649:$V655))</f>
        <v>2</v>
      </c>
      <c r="T650" s="499">
        <v>1.0</v>
      </c>
      <c r="U650" s="500" t="b">
        <f>Rankings!$S650=Rankings!$T650</f>
        <v>0</v>
      </c>
      <c r="V650" s="490">
        <f>IF(ISTEXT(Rankings!F650), "TBD", (RANK($F650,$F649:$F655) + IF(ISTEXT($H650), 0, (RANK($H650,$H649:$H655)/10)) + (RANK($G650,$G649:$G655)/100)))</f>
        <v>6.61</v>
      </c>
      <c r="W650" s="153"/>
    </row>
    <row r="651" ht="15.75" customHeight="1">
      <c r="A651" s="134"/>
      <c r="B651" s="134"/>
      <c r="C651" s="134"/>
      <c r="D651" s="501">
        <f>D649</f>
        <v>46127</v>
      </c>
      <c r="E651" s="469" t="str">
        <f>$M$1</f>
        <v>Giacomo</v>
      </c>
      <c r="F651" s="502">
        <f>IFERROR(AVERAGE(Rankings!$K651:$R651), "TBD")</f>
        <v>5.142857143</v>
      </c>
      <c r="G651" s="502">
        <f>IFERROR(_xlfn.STDEV.P(Rankings!$K651:$R651), "TBD")</f>
        <v>2.166535841</v>
      </c>
      <c r="H651" s="502">
        <f>IFERROR(AVERAGE(Rankings!$K651:$L651, Rankings!$N651:$R651), "TBD")</f>
        <v>5.833333333</v>
      </c>
      <c r="I651" s="503" t="s">
        <v>1590</v>
      </c>
      <c r="J651" s="503" t="s">
        <v>1591</v>
      </c>
      <c r="K651" s="494">
        <v>7.0</v>
      </c>
      <c r="L651" s="495">
        <v>5.0</v>
      </c>
      <c r="M651" s="495">
        <v>1.0</v>
      </c>
      <c r="N651" s="495">
        <v>3.0</v>
      </c>
      <c r="O651" s="495">
        <v>7.0</v>
      </c>
      <c r="P651" s="495">
        <v>6.0</v>
      </c>
      <c r="Q651" s="496">
        <v>7.0</v>
      </c>
      <c r="R651" s="497"/>
      <c r="S651" s="498">
        <f>IF(ISTEXT($V651), "TBD", RANK(V651,$V649:$V655))</f>
        <v>7</v>
      </c>
      <c r="T651" s="499">
        <v>1.0</v>
      </c>
      <c r="U651" s="500" t="b">
        <f>Rankings!$S651=Rankings!$T651</f>
        <v>0</v>
      </c>
      <c r="V651" s="490">
        <f>IF(ISTEXT(Rankings!F651), "TBD", (RANK($F651,$F649:$F655) + IF(ISTEXT($H651), 0, (RANK($H651,$H649:$H655)/10)) + (RANK($G651,$G649:$G655)/100)))</f>
        <v>1.12</v>
      </c>
      <c r="W651" s="153"/>
    </row>
    <row r="652" ht="15.75" customHeight="1">
      <c r="A652" s="134"/>
      <c r="B652" s="134"/>
      <c r="C652" s="134"/>
      <c r="D652" s="504">
        <f>D649</f>
        <v>46127</v>
      </c>
      <c r="E652" s="470" t="str">
        <f>$N$1</f>
        <v>Rosey</v>
      </c>
      <c r="F652" s="505">
        <f>IFERROR(AVERAGE(Rankings!$K652:$R652), "TBD")</f>
        <v>2.571428571</v>
      </c>
      <c r="G652" s="505">
        <f>IFERROR(_xlfn.STDEV.P(Rankings!$K652:$R652), "TBD")</f>
        <v>1.178030179</v>
      </c>
      <c r="H652" s="505">
        <f>IFERROR(AVERAGE(Rankings!$K652:$M652, Rankings!$O652:$R652), "TBD")</f>
        <v>2.666666667</v>
      </c>
      <c r="I652" s="506" t="s">
        <v>1592</v>
      </c>
      <c r="J652" s="506" t="s">
        <v>1593</v>
      </c>
      <c r="K652" s="494">
        <v>1.0</v>
      </c>
      <c r="L652" s="495">
        <v>2.0</v>
      </c>
      <c r="M652" s="495">
        <v>3.0</v>
      </c>
      <c r="N652" s="495">
        <v>2.0</v>
      </c>
      <c r="O652" s="495">
        <v>2.0</v>
      </c>
      <c r="P652" s="495">
        <v>5.0</v>
      </c>
      <c r="Q652" s="496">
        <v>3.0</v>
      </c>
      <c r="R652" s="497"/>
      <c r="S652" s="498">
        <f>IF(ISTEXT($V652), "TBD", RANK(V652,$V649:$V655))</f>
        <v>1</v>
      </c>
      <c r="T652" s="499">
        <v>1.0</v>
      </c>
      <c r="U652" s="500" t="b">
        <f>Rankings!$S652=Rankings!$T652</f>
        <v>1</v>
      </c>
      <c r="V652" s="490">
        <f>IF(ISTEXT(Rankings!F652), "TBD", (RANK($F652,$F649:$F655) + IF(ISTEXT($H652), 0, (RANK($H652,$H649:$H655)/10)) + (RANK($G652,$G649:$G655)/100)))</f>
        <v>7.77</v>
      </c>
      <c r="W652" s="153"/>
    </row>
    <row r="653" ht="15.75" customHeight="1">
      <c r="A653" s="134"/>
      <c r="B653" s="134"/>
      <c r="C653" s="134"/>
      <c r="D653" s="507">
        <f t="shared" ref="D653:D655" si="95">D649</f>
        <v>46127</v>
      </c>
      <c r="E653" s="471" t="str">
        <f>$O$1</f>
        <v>TTAC</v>
      </c>
      <c r="F653" s="508">
        <f>IFERROR(AVERAGE(Rankings!$K653:$R653), "TBD")</f>
        <v>3.714285714</v>
      </c>
      <c r="G653" s="508">
        <f>IFERROR(_xlfn.STDEV.P(Rankings!$K653:$R653), "TBD")</f>
        <v>1.829464068</v>
      </c>
      <c r="H653" s="508">
        <f>IFERROR(AVERAGE(Rankings!$K653:$N653, Rankings!$P653:$R653), "TBD")</f>
        <v>4.166666667</v>
      </c>
      <c r="I653" s="509" t="s">
        <v>1594</v>
      </c>
      <c r="J653" s="509" t="s">
        <v>1595</v>
      </c>
      <c r="K653" s="494">
        <v>4.0</v>
      </c>
      <c r="L653" s="495">
        <v>7.0</v>
      </c>
      <c r="M653" s="495">
        <v>4.0</v>
      </c>
      <c r="N653" s="495">
        <v>5.0</v>
      </c>
      <c r="O653" s="495">
        <v>1.0</v>
      </c>
      <c r="P653" s="495">
        <v>3.0</v>
      </c>
      <c r="Q653" s="496">
        <v>2.0</v>
      </c>
      <c r="R653" s="497"/>
      <c r="S653" s="498">
        <f>IF(ISTEXT($V653), "TBD", RANK(V653,$V649:$V655))</f>
        <v>3</v>
      </c>
      <c r="T653" s="499">
        <v>1.0</v>
      </c>
      <c r="U653" s="500" t="b">
        <f>Rankings!$S653=Rankings!$T653</f>
        <v>0</v>
      </c>
      <c r="V653" s="490">
        <f>IF(ISTEXT(Rankings!F653), "TBD", (RANK($F653,$F649:$F655) + IF(ISTEXT($H653), 0, (RANK($H653,$H649:$H655)/10)) + (RANK($G653,$G649:$G655)/100)))</f>
        <v>5.54</v>
      </c>
      <c r="W653" s="153"/>
    </row>
    <row r="654" ht="15.75" customHeight="1">
      <c r="A654" s="134"/>
      <c r="B654" s="134"/>
      <c r="C654" s="134"/>
      <c r="D654" s="510">
        <f t="shared" si="95"/>
        <v>46127</v>
      </c>
      <c r="E654" s="472" t="str">
        <f>$P$1</f>
        <v>Weston</v>
      </c>
      <c r="F654" s="511">
        <f>IFERROR(AVERAGE(Rankings!$K654:$R654), "TBD")</f>
        <v>4</v>
      </c>
      <c r="G654" s="511">
        <f>IFERROR(_xlfn.STDEV.P(Rankings!$K654:$R654), "TBD")</f>
        <v>1.690308509</v>
      </c>
      <c r="H654" s="511">
        <f>IFERROR(AVERAGE(Rankings!$K654:$O654, Rankings!$Q654:$R654), "TBD")</f>
        <v>4.333333333</v>
      </c>
      <c r="I654" s="512" t="s">
        <v>1596</v>
      </c>
      <c r="J654" s="512" t="s">
        <v>1597</v>
      </c>
      <c r="K654" s="494">
        <v>5.0</v>
      </c>
      <c r="L654" s="495">
        <v>4.0</v>
      </c>
      <c r="M654" s="495">
        <v>5.0</v>
      </c>
      <c r="N654" s="495">
        <v>1.0</v>
      </c>
      <c r="O654" s="495">
        <v>6.0</v>
      </c>
      <c r="P654" s="495">
        <v>2.0</v>
      </c>
      <c r="Q654" s="496">
        <v>5.0</v>
      </c>
      <c r="R654" s="497"/>
      <c r="S654" s="498">
        <f>IF(ISTEXT($V654), "TBD", RANK(V654,$V649:$V655))</f>
        <v>4</v>
      </c>
      <c r="T654" s="499">
        <v>1.0</v>
      </c>
      <c r="U654" s="500" t="b">
        <f>Rankings!$S654=Rankings!$T654</f>
        <v>0</v>
      </c>
      <c r="V654" s="490">
        <f>IF(ISTEXT(Rankings!F654), "TBD", (RANK($F654,$F649:$F655) + IF(ISTEXT($H654), 0, (RANK($H654,$H649:$H655)/10)) + (RANK($G654,$G649:$G655)/100)))</f>
        <v>4.45</v>
      </c>
      <c r="W654" s="153"/>
    </row>
    <row r="655" ht="15.75" customHeight="1">
      <c r="A655" s="189"/>
      <c r="B655" s="189"/>
      <c r="C655" s="189"/>
      <c r="D655" s="514">
        <f t="shared" si="95"/>
        <v>46127</v>
      </c>
      <c r="E655" s="131" t="str">
        <f>$Q$1</f>
        <v>Flocco</v>
      </c>
      <c r="F655" s="515">
        <f>IFERROR(AVERAGE(Rankings!$K655:$R655), "TBD")</f>
        <v>4.571428571</v>
      </c>
      <c r="G655" s="515">
        <f>IFERROR(_xlfn.STDEV.P(Rankings!$K655:$R655), "TBD")</f>
        <v>2.060315015</v>
      </c>
      <c r="H655" s="515">
        <f>IFERROR(AVERAGE(Rankings!$K655:$P655, Rankings!$R655), "TBD")</f>
        <v>5.166666667</v>
      </c>
      <c r="I655" s="516" t="s">
        <v>1598</v>
      </c>
      <c r="J655" s="516" t="s">
        <v>1599</v>
      </c>
      <c r="K655" s="494">
        <v>3.0</v>
      </c>
      <c r="L655" s="495">
        <v>6.0</v>
      </c>
      <c r="M655" s="495">
        <v>7.0</v>
      </c>
      <c r="N655" s="495">
        <v>4.0</v>
      </c>
      <c r="O655" s="495">
        <v>4.0</v>
      </c>
      <c r="P655" s="495">
        <v>7.0</v>
      </c>
      <c r="Q655" s="496">
        <v>1.0</v>
      </c>
      <c r="R655" s="497"/>
      <c r="S655" s="498">
        <f>IF(ISTEXT($V655), "TBD", RANK(V655,$V649:$V655))</f>
        <v>6</v>
      </c>
      <c r="T655" s="499">
        <v>1.0</v>
      </c>
      <c r="U655" s="500" t="b">
        <f>Rankings!$S655=Rankings!$T655</f>
        <v>0</v>
      </c>
      <c r="V655" s="490">
        <f>IF(ISTEXT(Rankings!F655), "TBD", (RANK($F655,$F649:$F655) + IF(ISTEXT($H655), 0, (RANK($H655,$H649:$H655)/10)) + (RANK($G655,$G649:$G655)/100)))</f>
        <v>2.23</v>
      </c>
      <c r="W655" s="208"/>
    </row>
    <row r="656" ht="15.75" customHeight="1">
      <c r="A656" s="103">
        <v>46129.0</v>
      </c>
      <c r="B656" s="453"/>
      <c r="C656" s="454" t="str">
        <f t="array" ref="C656">INDEX(Rankings!$E656:$E662, MATCH(1, (Rankings!$D656:$D662=$A656)*(Rankings!$U656:$U662=TRUE()), 0))</f>
        <v>Parker</v>
      </c>
      <c r="D656" s="398">
        <f>A656</f>
        <v>46129</v>
      </c>
      <c r="E656" s="455" t="str">
        <f>$K$1</f>
        <v>Logan</v>
      </c>
      <c r="F656" s="519">
        <f>IFERROR(AVERAGE(Rankings!$K656:$R656), "TBD")</f>
        <v>3.285714286</v>
      </c>
      <c r="G656" s="519">
        <f>IFERROR(_xlfn.STDEV.P(Rankings!$K656:$R656), "TBD")</f>
        <v>2.050385728</v>
      </c>
      <c r="H656" s="519">
        <f>IFERROR(AVERAGE(Rankings!$L656:$R656), "TBD")</f>
        <v>3.333333333</v>
      </c>
      <c r="I656" s="520" t="s">
        <v>1600</v>
      </c>
      <c r="J656" s="520" t="s">
        <v>1601</v>
      </c>
      <c r="K656" s="521">
        <v>3.0</v>
      </c>
      <c r="L656" s="522">
        <v>5.0</v>
      </c>
      <c r="M656" s="522">
        <v>1.0</v>
      </c>
      <c r="N656" s="522">
        <v>1.0</v>
      </c>
      <c r="O656" s="522">
        <v>4.0</v>
      </c>
      <c r="P656" s="522">
        <v>2.0</v>
      </c>
      <c r="Q656" s="445">
        <v>7.0</v>
      </c>
      <c r="R656" s="523"/>
      <c r="S656" s="524">
        <f>IF(ISTEXT($V656), "TBD", RANK(V656,$V656:$V662))</f>
        <v>2</v>
      </c>
      <c r="T656" s="525">
        <v>1.0</v>
      </c>
      <c r="U656" s="526" t="b">
        <f>Rankings!$S656=Rankings!$T656</f>
        <v>0</v>
      </c>
      <c r="V656" s="527">
        <f>IF(ISTEXT(Rankings!F656), "TBD", (RANK($F656,$F656:$F662) + IF(ISTEXT($H656), 0, (RANK($H656,$H656:$H662)/10)) + (RANK($G656,$G656:$G662)/100)))</f>
        <v>5.62</v>
      </c>
      <c r="W656" s="329" t="s">
        <v>1602</v>
      </c>
    </row>
    <row r="657" ht="15.75" customHeight="1">
      <c r="A657" s="134"/>
      <c r="B657" s="134"/>
      <c r="C657" s="134"/>
      <c r="D657" s="402">
        <f>D656</f>
        <v>46129</v>
      </c>
      <c r="E657" s="463" t="str">
        <f>$L$1</f>
        <v>Parker</v>
      </c>
      <c r="F657" s="528">
        <f>IFERROR(AVERAGE(Rankings!$K657:$R657), "TBD")</f>
        <v>3.285714286</v>
      </c>
      <c r="G657" s="528">
        <f>IFERROR(_xlfn.STDEV.P(Rankings!$K657:$R657), "TBD")</f>
        <v>1.665986256</v>
      </c>
      <c r="H657" s="528">
        <f>IFERROR(AVERAGE(Rankings!$K657, Rankings!$M657:$R657), "TBD")</f>
        <v>3.166666667</v>
      </c>
      <c r="I657" s="529" t="s">
        <v>185</v>
      </c>
      <c r="J657" s="529" t="s">
        <v>1603</v>
      </c>
      <c r="K657" s="530">
        <v>2.0</v>
      </c>
      <c r="L657" s="531">
        <v>4.0</v>
      </c>
      <c r="M657" s="531">
        <v>3.0</v>
      </c>
      <c r="N657" s="531">
        <v>2.0</v>
      </c>
      <c r="O657" s="531">
        <v>6.0</v>
      </c>
      <c r="P657" s="531">
        <v>1.0</v>
      </c>
      <c r="Q657" s="447">
        <v>5.0</v>
      </c>
      <c r="R657" s="532"/>
      <c r="S657" s="533">
        <f>IF(ISTEXT($V657), "TBD", RANK(V657,$V656:$V662))</f>
        <v>1</v>
      </c>
      <c r="T657" s="534">
        <v>1.0</v>
      </c>
      <c r="U657" s="535" t="b">
        <f>Rankings!$S657=Rankings!$T657</f>
        <v>1</v>
      </c>
      <c r="V657" s="527">
        <f>IF(ISTEXT(Rankings!F657), "TBD", (RANK($F657,$F656:$F662) + IF(ISTEXT($H657), 0, (RANK($H657,$H656:$H662)/10)) + (RANK($G657,$G656:$G662)/100)))</f>
        <v>5.75</v>
      </c>
      <c r="W657" s="153"/>
    </row>
    <row r="658" ht="15.75" customHeight="1">
      <c r="A658" s="134"/>
      <c r="B658" s="134"/>
      <c r="C658" s="134"/>
      <c r="D658" s="406">
        <f>D656</f>
        <v>46129</v>
      </c>
      <c r="E658" s="469" t="str">
        <f>$M$1</f>
        <v>Giacomo</v>
      </c>
      <c r="F658" s="536">
        <f>IFERROR(AVERAGE(Rankings!$K658:$R658), "TBD")</f>
        <v>3.285714286</v>
      </c>
      <c r="G658" s="536">
        <f>IFERROR(_xlfn.STDEV.P(Rankings!$K658:$R658), "TBD")</f>
        <v>1.577908717</v>
      </c>
      <c r="H658" s="536">
        <f>IFERROR(AVERAGE(Rankings!$K658:$L658, Rankings!$N658:$R658), "TBD")</f>
        <v>3.5</v>
      </c>
      <c r="I658" s="537" t="s">
        <v>1604</v>
      </c>
      <c r="J658" s="537" t="s">
        <v>1605</v>
      </c>
      <c r="K658" s="530">
        <v>1.0</v>
      </c>
      <c r="L658" s="531">
        <v>6.0</v>
      </c>
      <c r="M658" s="531">
        <v>2.0</v>
      </c>
      <c r="N658" s="531">
        <v>3.0</v>
      </c>
      <c r="O658" s="531">
        <v>3.0</v>
      </c>
      <c r="P658" s="531">
        <v>5.0</v>
      </c>
      <c r="Q658" s="447">
        <v>3.0</v>
      </c>
      <c r="R658" s="532"/>
      <c r="S658" s="533">
        <f>IF(ISTEXT($V658), "TBD", RANK(V658,$V656:$V662))</f>
        <v>3</v>
      </c>
      <c r="T658" s="534">
        <v>1.0</v>
      </c>
      <c r="U658" s="535" t="b">
        <f>Rankings!$S658=Rankings!$T658</f>
        <v>0</v>
      </c>
      <c r="V658" s="527">
        <f>IF(ISTEXT(Rankings!F658), "TBD", (RANK($F658,$F656:$F662) + IF(ISTEXT($H658), 0, (RANK($H658,$H656:$H662)/10)) + (RANK($G658,$G656:$G662)/100)))</f>
        <v>5.56</v>
      </c>
      <c r="W658" s="153"/>
    </row>
    <row r="659" ht="15.75" customHeight="1">
      <c r="A659" s="134"/>
      <c r="B659" s="134"/>
      <c r="C659" s="134"/>
      <c r="D659" s="409">
        <f>D656</f>
        <v>46129</v>
      </c>
      <c r="E659" s="470" t="str">
        <f>$N$1</f>
        <v>Rosey</v>
      </c>
      <c r="F659" s="538">
        <f>IFERROR(AVERAGE(Rankings!$K659:$R659), "TBD")</f>
        <v>4</v>
      </c>
      <c r="G659" s="538">
        <f>IFERROR(_xlfn.STDEV.P(Rankings!$K659:$R659), "TBD")</f>
        <v>1.772810521</v>
      </c>
      <c r="H659" s="538">
        <f>IFERROR(AVERAGE(Rankings!$K659:$M659, Rankings!$O659:$R659), "TBD")</f>
        <v>3.666666667</v>
      </c>
      <c r="I659" s="539" t="s">
        <v>1539</v>
      </c>
      <c r="J659" s="539" t="s">
        <v>1606</v>
      </c>
      <c r="K659" s="530">
        <v>4.0</v>
      </c>
      <c r="L659" s="531">
        <v>1.0</v>
      </c>
      <c r="M659" s="531">
        <v>5.0</v>
      </c>
      <c r="N659" s="531">
        <v>6.0</v>
      </c>
      <c r="O659" s="531">
        <v>2.0</v>
      </c>
      <c r="P659" s="531">
        <v>6.0</v>
      </c>
      <c r="Q659" s="447">
        <v>4.0</v>
      </c>
      <c r="R659" s="532"/>
      <c r="S659" s="533">
        <f>IF(ISTEXT($V659), "TBD", RANK(V659,$V656:$V662))</f>
        <v>4</v>
      </c>
      <c r="T659" s="534">
        <v>1.0</v>
      </c>
      <c r="U659" s="535" t="b">
        <f>Rankings!$S659=Rankings!$T659</f>
        <v>0</v>
      </c>
      <c r="V659" s="527">
        <f>IF(ISTEXT(Rankings!F659), "TBD", (RANK($F659,$F656:$F662) + IF(ISTEXT($H659), 0, (RANK($H659,$H656:$H662)/10)) + (RANK($G659,$G656:$G662)/100)))</f>
        <v>4.44</v>
      </c>
      <c r="W659" s="153"/>
    </row>
    <row r="660" ht="15.75" customHeight="1">
      <c r="A660" s="134"/>
      <c r="B660" s="134"/>
      <c r="C660" s="134"/>
      <c r="D660" s="412">
        <f t="shared" ref="D660:D662" si="96">D656</f>
        <v>46129</v>
      </c>
      <c r="E660" s="471" t="str">
        <f>$O$1</f>
        <v>TTAC</v>
      </c>
      <c r="F660" s="540">
        <f>IFERROR(AVERAGE(Rankings!$K660:$R660), "TBD")</f>
        <v>5.571428571</v>
      </c>
      <c r="G660" s="540">
        <f>IFERROR(_xlfn.STDEV.P(Rankings!$K660:$R660), "TBD")</f>
        <v>1.840585532</v>
      </c>
      <c r="H660" s="540">
        <f>IFERROR(AVERAGE(Rankings!$K660:$N660, Rankings!$P660:$R660), "TBD")</f>
        <v>5.333333333</v>
      </c>
      <c r="I660" s="541" t="s">
        <v>1607</v>
      </c>
      <c r="J660" s="541" t="s">
        <v>1608</v>
      </c>
      <c r="K660" s="530">
        <v>7.0</v>
      </c>
      <c r="L660" s="531">
        <v>7.0</v>
      </c>
      <c r="M660" s="531">
        <v>7.0</v>
      </c>
      <c r="N660" s="531">
        <v>5.0</v>
      </c>
      <c r="O660" s="531">
        <v>7.0</v>
      </c>
      <c r="P660" s="531">
        <v>4.0</v>
      </c>
      <c r="Q660" s="447">
        <v>2.0</v>
      </c>
      <c r="R660" s="532"/>
      <c r="S660" s="533">
        <f>IF(ISTEXT($V660), "TBD", RANK(V660,$V656:$V662))</f>
        <v>7</v>
      </c>
      <c r="T660" s="534">
        <v>1.0</v>
      </c>
      <c r="U660" s="535" t="b">
        <f>Rankings!$S660=Rankings!$T660</f>
        <v>0</v>
      </c>
      <c r="V660" s="527">
        <f>IF(ISTEXT(Rankings!F660), "TBD", (RANK($F660,$F656:$F662) + IF(ISTEXT($H660), 0, (RANK($H660,$H656:$H662)/10)) + (RANK($G660,$G656:$G662)/100)))</f>
        <v>1.13</v>
      </c>
      <c r="W660" s="153"/>
    </row>
    <row r="661" ht="15.75" customHeight="1">
      <c r="A661" s="134"/>
      <c r="B661" s="134"/>
      <c r="C661" s="134"/>
      <c r="D661" s="415">
        <f t="shared" si="96"/>
        <v>46129</v>
      </c>
      <c r="E661" s="472" t="str">
        <f>$P$1</f>
        <v>Weston</v>
      </c>
      <c r="F661" s="542">
        <f>IFERROR(AVERAGE(Rankings!$K661:$R661), "TBD")</f>
        <v>4.142857143</v>
      </c>
      <c r="G661" s="542">
        <f>IFERROR(_xlfn.STDEV.P(Rankings!$K661:$R661), "TBD")</f>
        <v>1.245399698</v>
      </c>
      <c r="H661" s="542">
        <f>IFERROR(AVERAGE(Rankings!$K661:$O661, Rankings!$Q661:$R661), "TBD")</f>
        <v>4.333333333</v>
      </c>
      <c r="I661" s="543" t="s">
        <v>1609</v>
      </c>
      <c r="J661" s="543" t="s">
        <v>1610</v>
      </c>
      <c r="K661" s="530">
        <v>5.0</v>
      </c>
      <c r="L661" s="531">
        <v>2.0</v>
      </c>
      <c r="M661" s="531">
        <v>4.0</v>
      </c>
      <c r="N661" s="531">
        <v>4.0</v>
      </c>
      <c r="O661" s="531">
        <v>5.0</v>
      </c>
      <c r="P661" s="531">
        <v>3.0</v>
      </c>
      <c r="Q661" s="447">
        <v>6.0</v>
      </c>
      <c r="R661" s="532"/>
      <c r="S661" s="533">
        <f>IF(ISTEXT($V661), "TBD", RANK(V661,$V656:$V662))</f>
        <v>5</v>
      </c>
      <c r="T661" s="534">
        <v>1.0</v>
      </c>
      <c r="U661" s="535" t="b">
        <f>Rankings!$S661=Rankings!$T661</f>
        <v>0</v>
      </c>
      <c r="V661" s="527">
        <f>IF(ISTEXT(Rankings!F661), "TBD", (RANK($F661,$F656:$F662) + IF(ISTEXT($H661), 0, (RANK($H661,$H656:$H662)/10)) + (RANK($G661,$G656:$G662)/100)))</f>
        <v>3.37</v>
      </c>
      <c r="W661" s="153"/>
    </row>
    <row r="662" ht="15.75" customHeight="1">
      <c r="A662" s="189"/>
      <c r="B662" s="189"/>
      <c r="C662" s="189"/>
      <c r="D662" s="473">
        <f t="shared" si="96"/>
        <v>46129</v>
      </c>
      <c r="E662" s="131" t="str">
        <f>$Q$1</f>
        <v>Flocco</v>
      </c>
      <c r="F662" s="544">
        <f>IFERROR(AVERAGE(Rankings!$K662:$R662), "TBD")</f>
        <v>4.428571429</v>
      </c>
      <c r="G662" s="544">
        <f>IFERROR(_xlfn.STDEV.P(Rankings!$K662:$R662), "TBD")</f>
        <v>2.498979384</v>
      </c>
      <c r="H662" s="544">
        <f>IFERROR(AVERAGE(Rankings!$K662:$P662, Rankings!$R662), "TBD")</f>
        <v>5</v>
      </c>
      <c r="I662" s="545" t="s">
        <v>1611</v>
      </c>
      <c r="J662" s="545" t="s">
        <v>1612</v>
      </c>
      <c r="K662" s="530">
        <v>6.0</v>
      </c>
      <c r="L662" s="531">
        <v>3.0</v>
      </c>
      <c r="M662" s="531">
        <v>6.0</v>
      </c>
      <c r="N662" s="531">
        <v>7.0</v>
      </c>
      <c r="O662" s="531">
        <v>1.0</v>
      </c>
      <c r="P662" s="531">
        <v>7.0</v>
      </c>
      <c r="Q662" s="447">
        <v>1.0</v>
      </c>
      <c r="R662" s="532"/>
      <c r="S662" s="533">
        <f>IF(ISTEXT($V662), "TBD", RANK(V662,$V656:$V662))</f>
        <v>6</v>
      </c>
      <c r="T662" s="534">
        <v>1.0</v>
      </c>
      <c r="U662" s="535" t="b">
        <f>Rankings!$S662=Rankings!$T662</f>
        <v>0</v>
      </c>
      <c r="V662" s="527">
        <f>IF(ISTEXT(Rankings!F662), "TBD", (RANK($F662,$F656:$F662) + IF(ISTEXT($H662), 0, (RANK($H662,$H656:$H662)/10)) + (RANK($G662,$G656:$G662)/100)))</f>
        <v>2.21</v>
      </c>
      <c r="W662" s="208"/>
    </row>
    <row r="663" ht="15.75" customHeight="1">
      <c r="A663" s="103">
        <v>46132.0</v>
      </c>
      <c r="B663" s="453"/>
      <c r="C663" s="454" t="str">
        <f t="array" ref="C663">INDEX(Rankings!$E663:$E669, MATCH(1, (Rankings!$D663:$D669=$A663)*(Rankings!$U663:$U669=TRUE()), 0))</f>
        <v>Giacomo</v>
      </c>
      <c r="D663" s="398">
        <f>A663</f>
        <v>46132</v>
      </c>
      <c r="E663" s="455" t="str">
        <f>$K$1</f>
        <v>Logan</v>
      </c>
      <c r="F663" s="519">
        <f>IFERROR(AVERAGE(Rankings!$K663:$R663), "TBD")</f>
        <v>5.142857143</v>
      </c>
      <c r="G663" s="519">
        <f>IFERROR(_xlfn.STDEV.P(Rankings!$K663:$R663), "TBD")</f>
        <v>1.456862718</v>
      </c>
      <c r="H663" s="519">
        <f>IFERROR(AVERAGE(Rankings!$L663:$R663), "TBD")</f>
        <v>5.5</v>
      </c>
      <c r="I663" s="520" t="s">
        <v>1613</v>
      </c>
      <c r="J663" s="520" t="s">
        <v>148</v>
      </c>
      <c r="K663" s="521">
        <v>3.0</v>
      </c>
      <c r="L663" s="522">
        <v>6.0</v>
      </c>
      <c r="M663" s="522">
        <v>4.0</v>
      </c>
      <c r="N663" s="522">
        <v>5.0</v>
      </c>
      <c r="O663" s="522">
        <v>4.0</v>
      </c>
      <c r="P663" s="522">
        <v>7.0</v>
      </c>
      <c r="Q663" s="445">
        <v>7.0</v>
      </c>
      <c r="R663" s="523"/>
      <c r="S663" s="524">
        <f>IF(ISTEXT($V663), "TBD", RANK(V663,$V663:$V669))</f>
        <v>7</v>
      </c>
      <c r="T663" s="525">
        <v>1.0</v>
      </c>
      <c r="U663" s="526" t="b">
        <f>Rankings!$S663=Rankings!$T663</f>
        <v>0</v>
      </c>
      <c r="V663" s="527">
        <f>IF(ISTEXT(Rankings!F663), "TBD", (RANK($F663,$F663:$F669) + IF(ISTEXT($H663), 0, (RANK($H663,$H663:$H669)/10)) + (RANK($G663,$G663:$G669)/100)))</f>
        <v>1.17</v>
      </c>
      <c r="W663" s="462"/>
    </row>
    <row r="664" ht="15.75" customHeight="1">
      <c r="A664" s="134"/>
      <c r="B664" s="134"/>
      <c r="C664" s="134"/>
      <c r="D664" s="402">
        <f>D663</f>
        <v>46132</v>
      </c>
      <c r="E664" s="463" t="str">
        <f>$L$1</f>
        <v>Parker</v>
      </c>
      <c r="F664" s="528">
        <f>IFERROR(AVERAGE(Rankings!$K664:$R664), "TBD")</f>
        <v>3.857142857</v>
      </c>
      <c r="G664" s="528">
        <f>IFERROR(_xlfn.STDEV.P(Rankings!$K664:$R664), "TBD")</f>
        <v>1.456862718</v>
      </c>
      <c r="H664" s="528">
        <f>IFERROR(AVERAGE(Rankings!$K664, Rankings!$M664:$R664), "TBD")</f>
        <v>4</v>
      </c>
      <c r="I664" s="529" t="s">
        <v>1614</v>
      </c>
      <c r="J664" s="529" t="s">
        <v>1615</v>
      </c>
      <c r="K664" s="530">
        <v>4.0</v>
      </c>
      <c r="L664" s="531">
        <v>3.0</v>
      </c>
      <c r="M664" s="531">
        <v>5.0</v>
      </c>
      <c r="N664" s="531">
        <v>4.0</v>
      </c>
      <c r="O664" s="531">
        <v>1.0</v>
      </c>
      <c r="P664" s="531">
        <v>4.0</v>
      </c>
      <c r="Q664" s="447">
        <v>6.0</v>
      </c>
      <c r="R664" s="532"/>
      <c r="S664" s="533">
        <f>IF(ISTEXT($V664), "TBD", RANK(V664,$V663:$V669))</f>
        <v>4</v>
      </c>
      <c r="T664" s="534">
        <v>1.0</v>
      </c>
      <c r="U664" s="535" t="b">
        <f>Rankings!$S664=Rankings!$T664</f>
        <v>0</v>
      </c>
      <c r="V664" s="527">
        <f>IF(ISTEXT(Rankings!F664), "TBD", (RANK($F664,$F663:$F669) + IF(ISTEXT($H664), 0, (RANK($H664,$H663:$H669)/10)) + (RANK($G664,$G663:$G669)/100)))</f>
        <v>4.46</v>
      </c>
      <c r="W664" s="153"/>
    </row>
    <row r="665" ht="15.75" customHeight="1">
      <c r="A665" s="134"/>
      <c r="B665" s="134"/>
      <c r="C665" s="134"/>
      <c r="D665" s="406">
        <f>D663</f>
        <v>46132</v>
      </c>
      <c r="E665" s="469" t="str">
        <f>$M$1</f>
        <v>Giacomo</v>
      </c>
      <c r="F665" s="536">
        <f>IFERROR(AVERAGE(Rankings!$K665:$R665), "TBD")</f>
        <v>3.142857143</v>
      </c>
      <c r="G665" s="536">
        <f>IFERROR(_xlfn.STDEV.P(Rankings!$K665:$R665), "TBD")</f>
        <v>1.807015806</v>
      </c>
      <c r="H665" s="536">
        <f>IFERROR(AVERAGE(Rankings!$K665:$L665, Rankings!$N665:$R665), "TBD")</f>
        <v>3.5</v>
      </c>
      <c r="I665" s="537" t="s">
        <v>1616</v>
      </c>
      <c r="J665" s="537" t="s">
        <v>1617</v>
      </c>
      <c r="K665" s="530">
        <v>5.0</v>
      </c>
      <c r="L665" s="531">
        <v>1.0</v>
      </c>
      <c r="M665" s="531">
        <v>1.0</v>
      </c>
      <c r="N665" s="531">
        <v>3.0</v>
      </c>
      <c r="O665" s="531">
        <v>6.0</v>
      </c>
      <c r="P665" s="531">
        <v>2.0</v>
      </c>
      <c r="Q665" s="447">
        <v>4.0</v>
      </c>
      <c r="R665" s="532"/>
      <c r="S665" s="533">
        <f>IF(ISTEXT($V665), "TBD", RANK(V665,$V663:$V669))</f>
        <v>1</v>
      </c>
      <c r="T665" s="534">
        <v>1.0</v>
      </c>
      <c r="U665" s="535" t="b">
        <f>Rankings!$S665=Rankings!$T665</f>
        <v>1</v>
      </c>
      <c r="V665" s="527">
        <f>IF(ISTEXT(Rankings!F665), "TBD", (RANK($F665,$F663:$F669) + IF(ISTEXT($H665), 0, (RANK($H665,$H663:$H669)/10)) + (RANK($G665,$G663:$G669)/100)))</f>
        <v>6.65</v>
      </c>
      <c r="W665" s="153"/>
    </row>
    <row r="666" ht="15.75" customHeight="1">
      <c r="A666" s="134"/>
      <c r="B666" s="134"/>
      <c r="C666" s="134"/>
      <c r="D666" s="409">
        <f>D663</f>
        <v>46132</v>
      </c>
      <c r="E666" s="470" t="str">
        <f>$N$1</f>
        <v>Rosey</v>
      </c>
      <c r="F666" s="538">
        <f>IFERROR(AVERAGE(Rankings!$K666:$R666), "TBD")</f>
        <v>4.571428571</v>
      </c>
      <c r="G666" s="538">
        <f>IFERROR(_xlfn.STDEV.P(Rankings!$K666:$R666), "TBD")</f>
        <v>2.128523489</v>
      </c>
      <c r="H666" s="538">
        <f>IFERROR(AVERAGE(Rankings!$K666:$M666, Rankings!$O666:$R666), "TBD")</f>
        <v>5.166666667</v>
      </c>
      <c r="I666" s="539" t="s">
        <v>1618</v>
      </c>
      <c r="J666" s="539" t="s">
        <v>148</v>
      </c>
      <c r="K666" s="530">
        <v>2.0</v>
      </c>
      <c r="L666" s="531">
        <v>7.0</v>
      </c>
      <c r="M666" s="531">
        <v>7.0</v>
      </c>
      <c r="N666" s="531">
        <v>1.0</v>
      </c>
      <c r="O666" s="531">
        <v>5.0</v>
      </c>
      <c r="P666" s="531">
        <v>5.0</v>
      </c>
      <c r="Q666" s="447">
        <v>5.0</v>
      </c>
      <c r="R666" s="532"/>
      <c r="S666" s="533">
        <f>IF(ISTEXT($V666), "TBD", RANK(V666,$V663:$V669))</f>
        <v>6</v>
      </c>
      <c r="T666" s="534">
        <v>1.0</v>
      </c>
      <c r="U666" s="535" t="b">
        <f>Rankings!$S666=Rankings!$T666</f>
        <v>0</v>
      </c>
      <c r="V666" s="527">
        <f>IF(ISTEXT(Rankings!F666), "TBD", (RANK($F666,$F663:$F669) + IF(ISTEXT($H666), 0, (RANK($H666,$H663:$H669)/10)) + (RANK($G666,$G663:$G669)/100)))</f>
        <v>2.22</v>
      </c>
      <c r="W666" s="153"/>
    </row>
    <row r="667" ht="15.75" customHeight="1">
      <c r="A667" s="134"/>
      <c r="B667" s="134"/>
      <c r="C667" s="134"/>
      <c r="D667" s="412">
        <f t="shared" ref="D667:D669" si="97">D663</f>
        <v>46132</v>
      </c>
      <c r="E667" s="471" t="str">
        <f>$O$1</f>
        <v>TTAC</v>
      </c>
      <c r="F667" s="540">
        <f>IFERROR(AVERAGE(Rankings!$K667:$R667), "TBD")</f>
        <v>3.571428571</v>
      </c>
      <c r="G667" s="540">
        <f>IFERROR(_xlfn.STDEV.P(Rankings!$K667:$R667), "TBD")</f>
        <v>1.916629695</v>
      </c>
      <c r="H667" s="540">
        <f>IFERROR(AVERAGE(Rankings!$K667:$N667, Rankings!$P667:$R667), "TBD")</f>
        <v>3.666666667</v>
      </c>
      <c r="I667" s="541" t="s">
        <v>1619</v>
      </c>
      <c r="J667" s="541" t="s">
        <v>1620</v>
      </c>
      <c r="K667" s="530">
        <v>7.0</v>
      </c>
      <c r="L667" s="531">
        <v>2.0</v>
      </c>
      <c r="M667" s="531">
        <v>2.0</v>
      </c>
      <c r="N667" s="531">
        <v>2.0</v>
      </c>
      <c r="O667" s="531">
        <v>3.0</v>
      </c>
      <c r="P667" s="531">
        <v>6.0</v>
      </c>
      <c r="Q667" s="447">
        <v>3.0</v>
      </c>
      <c r="R667" s="532"/>
      <c r="S667" s="533">
        <f>IF(ISTEXT($V667), "TBD", RANK(V667,$V663:$V669))</f>
        <v>3</v>
      </c>
      <c r="T667" s="534">
        <v>1.0</v>
      </c>
      <c r="U667" s="535" t="b">
        <f>Rankings!$S667=Rankings!$T667</f>
        <v>0</v>
      </c>
      <c r="V667" s="527">
        <f>IF(ISTEXT(Rankings!F667), "TBD", (RANK($F667,$F663:$F669) + IF(ISTEXT($H667), 0, (RANK($H667,$H663:$H669)/10)) + (RANK($G667,$G663:$G669)/100)))</f>
        <v>5.54</v>
      </c>
      <c r="W667" s="153"/>
    </row>
    <row r="668" ht="15.75" customHeight="1">
      <c r="A668" s="134"/>
      <c r="B668" s="134"/>
      <c r="C668" s="134"/>
      <c r="D668" s="415">
        <f t="shared" si="97"/>
        <v>46132</v>
      </c>
      <c r="E668" s="472" t="str">
        <f>$P$1</f>
        <v>Weston</v>
      </c>
      <c r="F668" s="542">
        <f>IFERROR(AVERAGE(Rankings!$K668:$R668), "TBD")</f>
        <v>3.142857143</v>
      </c>
      <c r="G668" s="542">
        <f>IFERROR(_xlfn.STDEV.P(Rankings!$K668:$R668), "TBD")</f>
        <v>2.231499907</v>
      </c>
      <c r="H668" s="542">
        <f>IFERROR(AVERAGE(Rankings!$K668:$O668, Rankings!$Q668:$R668), "TBD")</f>
        <v>3.5</v>
      </c>
      <c r="I668" s="543" t="s">
        <v>1621</v>
      </c>
      <c r="J668" s="543" t="s">
        <v>1622</v>
      </c>
      <c r="K668" s="530">
        <v>1.0</v>
      </c>
      <c r="L668" s="531">
        <v>5.0</v>
      </c>
      <c r="M668" s="531">
        <v>6.0</v>
      </c>
      <c r="N668" s="531">
        <v>6.0</v>
      </c>
      <c r="O668" s="531">
        <v>2.0</v>
      </c>
      <c r="P668" s="531">
        <v>1.0</v>
      </c>
      <c r="Q668" s="447">
        <v>1.0</v>
      </c>
      <c r="R668" s="532"/>
      <c r="S668" s="533">
        <f>IF(ISTEXT($V668), "TBD", RANK(V668,$V663:$V669))</f>
        <v>2</v>
      </c>
      <c r="T668" s="534">
        <v>1.0</v>
      </c>
      <c r="U668" s="535" t="b">
        <f>Rankings!$S668=Rankings!$T668</f>
        <v>0</v>
      </c>
      <c r="V668" s="527">
        <f>IF(ISTEXT(Rankings!F668), "TBD", (RANK($F668,$F663:$F669) + IF(ISTEXT($H668), 0, (RANK($H668,$H663:$H669)/10)) + (RANK($G668,$G663:$G669)/100)))</f>
        <v>6.61</v>
      </c>
      <c r="W668" s="153"/>
    </row>
    <row r="669" ht="15.75" customHeight="1">
      <c r="A669" s="189"/>
      <c r="B669" s="189"/>
      <c r="C669" s="189"/>
      <c r="D669" s="473">
        <f t="shared" si="97"/>
        <v>46132</v>
      </c>
      <c r="E669" s="131" t="str">
        <f>$Q$1</f>
        <v>Flocco</v>
      </c>
      <c r="F669" s="544">
        <f>IFERROR(AVERAGE(Rankings!$K669:$R669), "TBD")</f>
        <v>4.571428571</v>
      </c>
      <c r="G669" s="544">
        <f>IFERROR(_xlfn.STDEV.P(Rankings!$K669:$R669), "TBD")</f>
        <v>1.916629695</v>
      </c>
      <c r="H669" s="544">
        <f>IFERROR(AVERAGE(Rankings!$K669:$P669, Rankings!$R669), "TBD")</f>
        <v>5</v>
      </c>
      <c r="I669" s="545" t="s">
        <v>1623</v>
      </c>
      <c r="J669" s="545" t="s">
        <v>1624</v>
      </c>
      <c r="K669" s="530">
        <v>6.0</v>
      </c>
      <c r="L669" s="531">
        <v>4.0</v>
      </c>
      <c r="M669" s="531">
        <v>3.0</v>
      </c>
      <c r="N669" s="531">
        <v>7.0</v>
      </c>
      <c r="O669" s="531">
        <v>7.0</v>
      </c>
      <c r="P669" s="531">
        <v>3.0</v>
      </c>
      <c r="Q669" s="447">
        <v>2.0</v>
      </c>
      <c r="R669" s="532"/>
      <c r="S669" s="533">
        <f>IF(ISTEXT($V669), "TBD", RANK(V669,$V663:$V669))</f>
        <v>5</v>
      </c>
      <c r="T669" s="534">
        <v>1.0</v>
      </c>
      <c r="U669" s="535" t="b">
        <f>Rankings!$S669=Rankings!$T669</f>
        <v>0</v>
      </c>
      <c r="V669" s="527">
        <f>IF(ISTEXT(Rankings!F669), "TBD", (RANK($F669,$F663:$F669) + IF(ISTEXT($H669), 0, (RANK($H669,$H663:$H669)/10)) + (RANK($G669,$G663:$G669)/100)))</f>
        <v>2.33</v>
      </c>
      <c r="W669" s="208"/>
    </row>
    <row r="670" ht="15.75" customHeight="1">
      <c r="A670" s="103">
        <v>46134.0</v>
      </c>
      <c r="B670" s="453"/>
      <c r="C670" s="454" t="str">
        <f t="array" ref="C670">INDEX(Rankings!$E670:$E676, MATCH(1, (Rankings!$D670:$D676=$A670)*(Rankings!$U670:$U676=TRUE()), 0))</f>
        <v>Flocco</v>
      </c>
      <c r="D670" s="398">
        <f>A670</f>
        <v>46134</v>
      </c>
      <c r="E670" s="455" t="str">
        <f>$K$1</f>
        <v>Logan</v>
      </c>
      <c r="F670" s="519">
        <f>IFERROR(AVERAGE(Rankings!$K670:$R670), "TBD")</f>
        <v>5.285714286</v>
      </c>
      <c r="G670" s="519">
        <f>IFERROR(_xlfn.STDEV.P(Rankings!$K670:$R670), "TBD")</f>
        <v>1.030157507</v>
      </c>
      <c r="H670" s="519">
        <f>IFERROR(AVERAGE(Rankings!$L670:$R670), "TBD")</f>
        <v>5.666666667</v>
      </c>
      <c r="I670" s="520" t="s">
        <v>1625</v>
      </c>
      <c r="J670" s="520" t="s">
        <v>1306</v>
      </c>
      <c r="K670" s="521">
        <v>3.0</v>
      </c>
      <c r="L670" s="522">
        <v>6.0</v>
      </c>
      <c r="M670" s="522">
        <v>6.0</v>
      </c>
      <c r="N670" s="522">
        <v>6.0</v>
      </c>
      <c r="O670" s="522">
        <v>5.0</v>
      </c>
      <c r="P670" s="522">
        <v>6.0</v>
      </c>
      <c r="Q670" s="445">
        <v>5.0</v>
      </c>
      <c r="R670" s="546"/>
      <c r="S670" s="524">
        <f>IF(ISTEXT($V670), "TBD", RANK(V670,$V670:$V676))</f>
        <v>7</v>
      </c>
      <c r="T670" s="525">
        <v>1.0</v>
      </c>
      <c r="U670" s="526" t="b">
        <f>Rankings!$S670=Rankings!$T670</f>
        <v>0</v>
      </c>
      <c r="V670" s="527">
        <f>IF(ISTEXT(Rankings!F670), "TBD", (RANK($F670,$F670:$F676) + IF(ISTEXT($H670), 0, (RANK($H670,$H670:$H676)/10)) + (RANK($G670,$G670:$G676)/100)))</f>
        <v>1.27</v>
      </c>
      <c r="W670" s="547"/>
      <c r="X670" s="234"/>
      <c r="Y670" s="234"/>
      <c r="Z670" s="234"/>
      <c r="AA670" s="234"/>
    </row>
    <row r="671" ht="15.75" customHeight="1">
      <c r="A671" s="134"/>
      <c r="B671" s="134"/>
      <c r="C671" s="134"/>
      <c r="D671" s="402">
        <f>D670</f>
        <v>46134</v>
      </c>
      <c r="E671" s="463" t="str">
        <f>$L$1</f>
        <v>Parker</v>
      </c>
      <c r="F671" s="528">
        <f>IFERROR(AVERAGE(Rankings!$K671:$R671), "TBD")</f>
        <v>3.285714286</v>
      </c>
      <c r="G671" s="528">
        <f>IFERROR(_xlfn.STDEV.P(Rankings!$K671:$R671), "TBD")</f>
        <v>1.665986256</v>
      </c>
      <c r="H671" s="528">
        <f>IFERROR(AVERAGE(Rankings!$K671, Rankings!$M671:$R671), "TBD")</f>
        <v>3.5</v>
      </c>
      <c r="I671" s="529" t="s">
        <v>1626</v>
      </c>
      <c r="J671" s="529" t="s">
        <v>1627</v>
      </c>
      <c r="K671" s="530">
        <v>6.0</v>
      </c>
      <c r="L671" s="531">
        <v>2.0</v>
      </c>
      <c r="M671" s="531">
        <v>2.0</v>
      </c>
      <c r="N671" s="531">
        <v>3.0</v>
      </c>
      <c r="O671" s="531">
        <v>1.0</v>
      </c>
      <c r="P671" s="531">
        <v>5.0</v>
      </c>
      <c r="Q671" s="447">
        <v>4.0</v>
      </c>
      <c r="R671" s="548"/>
      <c r="S671" s="533">
        <f>IF(ISTEXT($V671), "TBD", RANK(V671,$V670:$V676))</f>
        <v>2</v>
      </c>
      <c r="T671" s="534">
        <v>1.0</v>
      </c>
      <c r="U671" s="535" t="b">
        <f>Rankings!$S671=Rankings!$T671</f>
        <v>0</v>
      </c>
      <c r="V671" s="527">
        <f>IF(ISTEXT(Rankings!F671), "TBD", (RANK($F671,$F670:$F676) + IF(ISTEXT($H671), 0, (RANK($H671,$H670:$H676)/10)) + (RANK($G671,$G670:$G676)/100)))</f>
        <v>6.65</v>
      </c>
      <c r="W671" s="153"/>
      <c r="X671" s="234"/>
      <c r="Y671" s="234"/>
      <c r="Z671" s="234"/>
      <c r="AA671" s="234"/>
    </row>
    <row r="672" ht="15.75" customHeight="1">
      <c r="A672" s="134"/>
      <c r="B672" s="134"/>
      <c r="C672" s="134"/>
      <c r="D672" s="406">
        <f>D670</f>
        <v>46134</v>
      </c>
      <c r="E672" s="469" t="str">
        <f>$M$1</f>
        <v>Giacomo</v>
      </c>
      <c r="F672" s="536">
        <f>IFERROR(AVERAGE(Rankings!$K672:$R672), "TBD")</f>
        <v>5.142857143</v>
      </c>
      <c r="G672" s="536">
        <f>IFERROR(_xlfn.STDEV.P(Rankings!$K672:$R672), "TBD")</f>
        <v>2.099562637</v>
      </c>
      <c r="H672" s="536">
        <f>IFERROR(AVERAGE(Rankings!$K672:$L672, Rankings!$N672:$R672), "TBD")</f>
        <v>5.833333333</v>
      </c>
      <c r="I672" s="537" t="s">
        <v>1628</v>
      </c>
      <c r="J672" s="537" t="s">
        <v>1629</v>
      </c>
      <c r="K672" s="530">
        <v>4.0</v>
      </c>
      <c r="L672" s="531">
        <v>4.0</v>
      </c>
      <c r="M672" s="531">
        <v>1.0</v>
      </c>
      <c r="N672" s="531">
        <v>7.0</v>
      </c>
      <c r="O672" s="531">
        <v>7.0</v>
      </c>
      <c r="P672" s="531">
        <v>7.0</v>
      </c>
      <c r="Q672" s="447">
        <v>6.0</v>
      </c>
      <c r="R672" s="548"/>
      <c r="S672" s="533">
        <f>IF(ISTEXT($V672), "TBD", RANK(V672,$V670:$V676))</f>
        <v>6</v>
      </c>
      <c r="T672" s="534">
        <v>1.0</v>
      </c>
      <c r="U672" s="535" t="b">
        <f>Rankings!$S672=Rankings!$T672</f>
        <v>0</v>
      </c>
      <c r="V672" s="527">
        <f>IF(ISTEXT(Rankings!F672), "TBD", (RANK($F672,$F670:$F676) + IF(ISTEXT($H672), 0, (RANK($H672,$H670:$H676)/10)) + (RANK($G672,$G670:$G676)/100)))</f>
        <v>2.12</v>
      </c>
      <c r="W672" s="153"/>
      <c r="X672" s="234"/>
      <c r="Y672" s="234"/>
      <c r="Z672" s="234"/>
      <c r="AA672" s="234"/>
    </row>
    <row r="673" ht="15.75" customHeight="1">
      <c r="A673" s="134"/>
      <c r="B673" s="134"/>
      <c r="C673" s="134"/>
      <c r="D673" s="409">
        <f>D670</f>
        <v>46134</v>
      </c>
      <c r="E673" s="470" t="str">
        <f>$N$1</f>
        <v>Rosey</v>
      </c>
      <c r="F673" s="538">
        <f>IFERROR(AVERAGE(Rankings!$K673:$R673), "TBD")</f>
        <v>3.571428571</v>
      </c>
      <c r="G673" s="538">
        <f>IFERROR(_xlfn.STDEV.P(Rankings!$K673:$R673), "TBD")</f>
        <v>2.381904572</v>
      </c>
      <c r="H673" s="538">
        <f>IFERROR(AVERAGE(Rankings!$K673:$M673, Rankings!$O673:$R673), "TBD")</f>
        <v>4</v>
      </c>
      <c r="I673" s="539" t="s">
        <v>1630</v>
      </c>
      <c r="J673" s="539" t="s">
        <v>313</v>
      </c>
      <c r="K673" s="530">
        <v>5.0</v>
      </c>
      <c r="L673" s="531">
        <v>1.0</v>
      </c>
      <c r="M673" s="531">
        <v>4.0</v>
      </c>
      <c r="N673" s="531">
        <v>1.0</v>
      </c>
      <c r="O673" s="531">
        <v>6.0</v>
      </c>
      <c r="P673" s="531">
        <v>1.0</v>
      </c>
      <c r="Q673" s="447">
        <v>7.0</v>
      </c>
      <c r="R673" s="548"/>
      <c r="S673" s="533">
        <f>IF(ISTEXT($V673), "TBD", RANK(V673,$V670:$V676))</f>
        <v>4</v>
      </c>
      <c r="T673" s="534">
        <v>1.0</v>
      </c>
      <c r="U673" s="535" t="b">
        <f>Rankings!$S673=Rankings!$T673</f>
        <v>0</v>
      </c>
      <c r="V673" s="527">
        <f>IF(ISTEXT(Rankings!F673), "TBD", (RANK($F673,$F670:$F676) + IF(ISTEXT($H673), 0, (RANK($H673,$H670:$H676)/10)) + (RANK($G673,$G670:$G676)/100)))</f>
        <v>4.41</v>
      </c>
      <c r="W673" s="153"/>
      <c r="X673" s="234"/>
      <c r="Y673" s="234"/>
      <c r="Z673" s="234"/>
      <c r="AA673" s="234"/>
    </row>
    <row r="674" ht="15.75" customHeight="1">
      <c r="A674" s="134"/>
      <c r="B674" s="134"/>
      <c r="C674" s="134"/>
      <c r="D674" s="412">
        <f t="shared" ref="D674:D676" si="98">D670</f>
        <v>46134</v>
      </c>
      <c r="E674" s="471" t="str">
        <f>$O$1</f>
        <v>TTAC</v>
      </c>
      <c r="F674" s="540">
        <f>IFERROR(AVERAGE(Rankings!$K674:$R674), "TBD")</f>
        <v>3.571428571</v>
      </c>
      <c r="G674" s="540">
        <f>IFERROR(_xlfn.STDEV.P(Rankings!$K674:$R674), "TBD")</f>
        <v>1.293626448</v>
      </c>
      <c r="H674" s="540">
        <f>IFERROR(AVERAGE(Rankings!$K674:$N674, Rankings!$P674:$R674), "TBD")</f>
        <v>3.666666667</v>
      </c>
      <c r="I674" s="541" t="s">
        <v>1631</v>
      </c>
      <c r="J674" s="541" t="s">
        <v>1632</v>
      </c>
      <c r="K674" s="530">
        <v>1.0</v>
      </c>
      <c r="L674" s="531">
        <v>5.0</v>
      </c>
      <c r="M674" s="531">
        <v>5.0</v>
      </c>
      <c r="N674" s="531">
        <v>4.0</v>
      </c>
      <c r="O674" s="531">
        <v>3.0</v>
      </c>
      <c r="P674" s="531">
        <v>4.0</v>
      </c>
      <c r="Q674" s="447">
        <v>3.0</v>
      </c>
      <c r="R674" s="548"/>
      <c r="S674" s="533">
        <f>IF(ISTEXT($V674), "TBD", RANK(V674,$V670:$V676))</f>
        <v>3</v>
      </c>
      <c r="T674" s="534">
        <v>1.0</v>
      </c>
      <c r="U674" s="535" t="b">
        <f>Rankings!$S674=Rankings!$T674</f>
        <v>0</v>
      </c>
      <c r="V674" s="527">
        <f>IF(ISTEXT(Rankings!F674), "TBD", (RANK($F674,$F670:$F676) + IF(ISTEXT($H674), 0, (RANK($H674,$H670:$H676)/10)) + (RANK($G674,$G670:$G676)/100)))</f>
        <v>4.56</v>
      </c>
      <c r="W674" s="153"/>
      <c r="X674" s="234"/>
      <c r="Y674" s="234"/>
      <c r="Z674" s="234"/>
      <c r="AA674" s="234"/>
    </row>
    <row r="675" ht="15.75" customHeight="1">
      <c r="A675" s="134"/>
      <c r="B675" s="134"/>
      <c r="C675" s="134"/>
      <c r="D675" s="415">
        <f t="shared" si="98"/>
        <v>46134</v>
      </c>
      <c r="E675" s="472" t="str">
        <f>$P$1</f>
        <v>Weston</v>
      </c>
      <c r="F675" s="542">
        <f>IFERROR(AVERAGE(Rankings!$K675:$R675), "TBD")</f>
        <v>4.285714286</v>
      </c>
      <c r="G675" s="542">
        <f>IFERROR(_xlfn.STDEV.P(Rankings!$K675:$R675), "TBD")</f>
        <v>1.979486637</v>
      </c>
      <c r="H675" s="542">
        <f>IFERROR(AVERAGE(Rankings!$K675:$O675, Rankings!$Q675:$R675), "TBD")</f>
        <v>4.666666667</v>
      </c>
      <c r="I675" s="543" t="s">
        <v>1633</v>
      </c>
      <c r="J675" s="543" t="s">
        <v>1634</v>
      </c>
      <c r="K675" s="530">
        <v>7.0</v>
      </c>
      <c r="L675" s="531">
        <v>7.0</v>
      </c>
      <c r="M675" s="531">
        <v>3.0</v>
      </c>
      <c r="N675" s="531">
        <v>5.0</v>
      </c>
      <c r="O675" s="531">
        <v>4.0</v>
      </c>
      <c r="P675" s="531">
        <v>2.0</v>
      </c>
      <c r="Q675" s="447">
        <v>2.0</v>
      </c>
      <c r="R675" s="548"/>
      <c r="S675" s="533">
        <f>IF(ISTEXT($V675), "TBD", RANK(V675,$V670:$V676))</f>
        <v>5</v>
      </c>
      <c r="T675" s="534">
        <v>1.0</v>
      </c>
      <c r="U675" s="535" t="b">
        <f>Rankings!$S675=Rankings!$T675</f>
        <v>0</v>
      </c>
      <c r="V675" s="527">
        <f>IF(ISTEXT(Rankings!F675), "TBD", (RANK($F675,$F670:$F676) + IF(ISTEXT($H675), 0, (RANK($H675,$H670:$H676)/10)) + (RANK($G675,$G670:$G676)/100)))</f>
        <v>3.33</v>
      </c>
      <c r="W675" s="153"/>
      <c r="X675" s="234"/>
      <c r="Y675" s="234"/>
      <c r="Z675" s="234"/>
      <c r="AA675" s="234"/>
    </row>
    <row r="676" ht="15.75" customHeight="1">
      <c r="A676" s="189"/>
      <c r="B676" s="189"/>
      <c r="C676" s="189"/>
      <c r="D676" s="473">
        <f t="shared" si="98"/>
        <v>46134</v>
      </c>
      <c r="E676" s="131" t="str">
        <f>$Q$1</f>
        <v>Flocco</v>
      </c>
      <c r="F676" s="544">
        <f>IFERROR(AVERAGE(Rankings!$K676:$R676), "TBD")</f>
        <v>2.857142857</v>
      </c>
      <c r="G676" s="544">
        <f>IFERROR(_xlfn.STDEV.P(Rankings!$K676:$R676), "TBD")</f>
        <v>1.807015806</v>
      </c>
      <c r="H676" s="544">
        <f>IFERROR(AVERAGE(Rankings!$K676:$P676, Rankings!$R676), "TBD")</f>
        <v>3.166666667</v>
      </c>
      <c r="I676" s="545" t="s">
        <v>1635</v>
      </c>
      <c r="J676" s="545" t="s">
        <v>1636</v>
      </c>
      <c r="K676" s="530">
        <v>2.0</v>
      </c>
      <c r="L676" s="531">
        <v>3.0</v>
      </c>
      <c r="M676" s="531">
        <v>7.0</v>
      </c>
      <c r="N676" s="531">
        <v>2.0</v>
      </c>
      <c r="O676" s="531">
        <v>2.0</v>
      </c>
      <c r="P676" s="531">
        <v>3.0</v>
      </c>
      <c r="Q676" s="447">
        <v>1.0</v>
      </c>
      <c r="R676" s="548"/>
      <c r="S676" s="533">
        <f>IF(ISTEXT($V676), "TBD", RANK(V676,$V670:$V676))</f>
        <v>1</v>
      </c>
      <c r="T676" s="534">
        <v>1.0</v>
      </c>
      <c r="U676" s="535" t="b">
        <f>Rankings!$S676=Rankings!$T676</f>
        <v>1</v>
      </c>
      <c r="V676" s="527">
        <f>IF(ISTEXT(Rankings!F676), "TBD", (RANK($F676,$F670:$F676) + IF(ISTEXT($H676), 0, (RANK($H676,$H670:$H676)/10)) + (RANK($G676,$G670:$G676)/100)))</f>
        <v>7.74</v>
      </c>
      <c r="W676" s="208"/>
      <c r="X676" s="234"/>
      <c r="Y676" s="234"/>
      <c r="Z676" s="234"/>
      <c r="AA676" s="234"/>
    </row>
    <row r="677" ht="15.75" customHeight="1">
      <c r="A677" s="103">
        <v>46136.0</v>
      </c>
      <c r="B677" s="453"/>
      <c r="C677" s="454" t="str">
        <f t="array" ref="C677">INDEX(Rankings!$E677:$E683, MATCH(1, (Rankings!$D677:$D683=$A677)*(Rankings!$U677:$U683=TRUE()), 0))</f>
        <v>Parker</v>
      </c>
      <c r="D677" s="398">
        <f>A677</f>
        <v>46136</v>
      </c>
      <c r="E677" s="455" t="str">
        <f>$K$1</f>
        <v>Logan</v>
      </c>
      <c r="F677" s="519">
        <f>IFERROR(AVERAGE(Rankings!$K677:$R677), "TBD")</f>
        <v>4</v>
      </c>
      <c r="G677" s="519">
        <f>IFERROR(_xlfn.STDEV.P(Rankings!$K677:$R677), "TBD")</f>
        <v>1.772810521</v>
      </c>
      <c r="H677" s="519">
        <f>IFERROR(AVERAGE(Rankings!$L677:$R677), "TBD")</f>
        <v>4.5</v>
      </c>
      <c r="I677" s="520" t="s">
        <v>1637</v>
      </c>
      <c r="J677" s="520" t="s">
        <v>1638</v>
      </c>
      <c r="K677" s="521">
        <v>1.0</v>
      </c>
      <c r="L677" s="522">
        <v>4.0</v>
      </c>
      <c r="M677" s="522">
        <v>6.0</v>
      </c>
      <c r="N677" s="522">
        <v>2.0</v>
      </c>
      <c r="O677" s="522">
        <v>5.0</v>
      </c>
      <c r="P677" s="522">
        <v>6.0</v>
      </c>
      <c r="Q677" s="445">
        <v>4.0</v>
      </c>
      <c r="R677" s="546"/>
      <c r="S677" s="524">
        <f>IF(ISTEXT($V677), "TBD", RANK(V677,$V677:$V683))</f>
        <v>3</v>
      </c>
      <c r="T677" s="525">
        <v>1.0</v>
      </c>
      <c r="U677" s="526" t="b">
        <f>Rankings!$S677=Rankings!$T677</f>
        <v>0</v>
      </c>
      <c r="V677" s="527">
        <f>IF(ISTEXT(Rankings!F677), "TBD", (RANK($F677,$F677:$F683) + IF(ISTEXT($H677), 0, (RANK($H677,$H677:$H683)/10)) + (RANK($G677,$G677:$G683)/100)))</f>
        <v>3.37</v>
      </c>
      <c r="W677" s="547"/>
      <c r="X677" s="234"/>
      <c r="Y677" s="234"/>
      <c r="Z677" s="234"/>
      <c r="AA677" s="234"/>
    </row>
    <row r="678" ht="15.75" customHeight="1">
      <c r="A678" s="134"/>
      <c r="B678" s="134"/>
      <c r="C678" s="134"/>
      <c r="D678" s="402">
        <f>D677</f>
        <v>46136</v>
      </c>
      <c r="E678" s="463" t="str">
        <f>$L$1</f>
        <v>Parker</v>
      </c>
      <c r="F678" s="528">
        <f>IFERROR(AVERAGE(Rankings!$K678:$R678), "TBD")</f>
        <v>3.571428571</v>
      </c>
      <c r="G678" s="528">
        <f>IFERROR(_xlfn.STDEV.P(Rankings!$K678:$R678), "TBD")</f>
        <v>1.916629695</v>
      </c>
      <c r="H678" s="528">
        <f>IFERROR(AVERAGE(Rankings!$K678, Rankings!$M678:$R678), "TBD")</f>
        <v>4</v>
      </c>
      <c r="I678" s="529" t="s">
        <v>1639</v>
      </c>
      <c r="J678" s="529" t="s">
        <v>595</v>
      </c>
      <c r="K678" s="530">
        <v>2.0</v>
      </c>
      <c r="L678" s="531">
        <v>1.0</v>
      </c>
      <c r="M678" s="531">
        <v>2.0</v>
      </c>
      <c r="N678" s="531">
        <v>3.0</v>
      </c>
      <c r="O678" s="531">
        <v>6.0</v>
      </c>
      <c r="P678" s="531">
        <v>5.0</v>
      </c>
      <c r="Q678" s="447">
        <v>6.0</v>
      </c>
      <c r="R678" s="548"/>
      <c r="S678" s="533">
        <f>IF(ISTEXT($V678), "TBD", RANK(V678,$V677:$V683))</f>
        <v>1</v>
      </c>
      <c r="T678" s="534">
        <v>1.0</v>
      </c>
      <c r="U678" s="535" t="b">
        <f>Rankings!$S678=Rankings!$T678</f>
        <v>1</v>
      </c>
      <c r="V678" s="527">
        <f>IF(ISTEXT(Rankings!F678), "TBD", (RANK($F678,$F677:$F683) + IF(ISTEXT($H678), 0, (RANK($H678,$H677:$H683)/10)) + (RANK($G678,$G677:$G683)/100)))</f>
        <v>7.75</v>
      </c>
      <c r="W678" s="153"/>
      <c r="X678" s="234"/>
      <c r="Y678" s="234"/>
      <c r="Z678" s="234"/>
      <c r="AA678" s="234"/>
    </row>
    <row r="679" ht="15.75" customHeight="1">
      <c r="A679" s="134"/>
      <c r="B679" s="134"/>
      <c r="C679" s="134"/>
      <c r="D679" s="406">
        <f>D677</f>
        <v>46136</v>
      </c>
      <c r="E679" s="469" t="str">
        <f>$M$1</f>
        <v>Giacomo</v>
      </c>
      <c r="F679" s="536">
        <f>IFERROR(AVERAGE(Rankings!$K679:$R679), "TBD")</f>
        <v>4</v>
      </c>
      <c r="G679" s="536">
        <f>IFERROR(_xlfn.STDEV.P(Rankings!$K679:$R679), "TBD")</f>
        <v>2.138089935</v>
      </c>
      <c r="H679" s="536">
        <f>IFERROR(AVERAGE(Rankings!$K679:$L679, Rankings!$N679:$R679), "TBD")</f>
        <v>4.5</v>
      </c>
      <c r="I679" s="537" t="s">
        <v>1640</v>
      </c>
      <c r="J679" s="537" t="s">
        <v>1641</v>
      </c>
      <c r="K679" s="530">
        <v>3.0</v>
      </c>
      <c r="L679" s="531">
        <v>2.0</v>
      </c>
      <c r="M679" s="531">
        <v>1.0</v>
      </c>
      <c r="N679" s="531">
        <v>4.0</v>
      </c>
      <c r="O679" s="531">
        <v>7.0</v>
      </c>
      <c r="P679" s="531">
        <v>4.0</v>
      </c>
      <c r="Q679" s="447">
        <v>7.0</v>
      </c>
      <c r="R679" s="548"/>
      <c r="S679" s="533">
        <f>IF(ISTEXT($V679), "TBD", RANK(V679,$V677:$V683))</f>
        <v>4</v>
      </c>
      <c r="T679" s="534">
        <v>1.0</v>
      </c>
      <c r="U679" s="535" t="b">
        <f>Rankings!$S679=Rankings!$T679</f>
        <v>0</v>
      </c>
      <c r="V679" s="527">
        <f>IF(ISTEXT(Rankings!F679), "TBD", (RANK($F679,$F677:$F683) + IF(ISTEXT($H679), 0, (RANK($H679,$H677:$H683)/10)) + (RANK($G679,$G677:$G683)/100)))</f>
        <v>3.31</v>
      </c>
      <c r="W679" s="153"/>
      <c r="X679" s="234"/>
      <c r="Y679" s="234"/>
      <c r="Z679" s="234"/>
      <c r="AA679" s="234"/>
    </row>
    <row r="680" ht="15.75" customHeight="1">
      <c r="A680" s="134"/>
      <c r="B680" s="134"/>
      <c r="C680" s="134"/>
      <c r="D680" s="409">
        <f>D677</f>
        <v>46136</v>
      </c>
      <c r="E680" s="470" t="str">
        <f>$N$1</f>
        <v>Rosey</v>
      </c>
      <c r="F680" s="538">
        <f>IFERROR(AVERAGE(Rankings!$K680:$R680), "TBD")</f>
        <v>4</v>
      </c>
      <c r="G680" s="538">
        <f>IFERROR(_xlfn.STDEV.P(Rankings!$K680:$R680), "TBD")</f>
        <v>2.138089935</v>
      </c>
      <c r="H680" s="538">
        <f>IFERROR(AVERAGE(Rankings!$K680:$M680, Rankings!$O680:$R680), "TBD")</f>
        <v>4.5</v>
      </c>
      <c r="I680" s="539" t="s">
        <v>1642</v>
      </c>
      <c r="J680" s="539" t="s">
        <v>1643</v>
      </c>
      <c r="K680" s="530">
        <v>4.0</v>
      </c>
      <c r="L680" s="531">
        <v>3.0</v>
      </c>
      <c r="M680" s="531">
        <v>7.0</v>
      </c>
      <c r="N680" s="531">
        <v>1.0</v>
      </c>
      <c r="O680" s="531">
        <v>4.0</v>
      </c>
      <c r="P680" s="531">
        <v>7.0</v>
      </c>
      <c r="Q680" s="447">
        <v>2.0</v>
      </c>
      <c r="R680" s="548"/>
      <c r="S680" s="533">
        <f>IF(ISTEXT($V680), "TBD", RANK(V680,$V677:$V683))</f>
        <v>4</v>
      </c>
      <c r="T680" s="534">
        <v>1.0</v>
      </c>
      <c r="U680" s="535" t="b">
        <f>Rankings!$S680=Rankings!$T680</f>
        <v>0</v>
      </c>
      <c r="V680" s="527">
        <f>IF(ISTEXT(Rankings!F680), "TBD", (RANK($F680,$F677:$F683) + IF(ISTEXT($H680), 0, (RANK($H680,$H677:$H683)/10)) + (RANK($G680,$G677:$G683)/100)))</f>
        <v>3.31</v>
      </c>
      <c r="W680" s="153"/>
      <c r="X680" s="234"/>
      <c r="Y680" s="234"/>
      <c r="Z680" s="234"/>
      <c r="AA680" s="234"/>
    </row>
    <row r="681" ht="15.75" customHeight="1">
      <c r="A681" s="134"/>
      <c r="B681" s="134"/>
      <c r="C681" s="134"/>
      <c r="D681" s="412">
        <f t="shared" ref="D681:D683" si="99">D677</f>
        <v>46136</v>
      </c>
      <c r="E681" s="471" t="str">
        <f>$O$1</f>
        <v>TTAC</v>
      </c>
      <c r="F681" s="540">
        <f>IFERROR(AVERAGE(Rankings!$K681:$R681), "TBD")</f>
        <v>4.428571429</v>
      </c>
      <c r="G681" s="540">
        <f>IFERROR(_xlfn.STDEV.P(Rankings!$K681:$R681), "TBD")</f>
        <v>1.989769754</v>
      </c>
      <c r="H681" s="540">
        <f>IFERROR(AVERAGE(Rankings!$K681:$N681, Rankings!$P681:$R681), "TBD")</f>
        <v>5</v>
      </c>
      <c r="I681" s="541" t="s">
        <v>1644</v>
      </c>
      <c r="J681" s="541" t="s">
        <v>1645</v>
      </c>
      <c r="K681" s="530">
        <v>6.0</v>
      </c>
      <c r="L681" s="531">
        <v>7.0</v>
      </c>
      <c r="M681" s="531">
        <v>5.0</v>
      </c>
      <c r="N681" s="531">
        <v>5.0</v>
      </c>
      <c r="O681" s="531">
        <v>1.0</v>
      </c>
      <c r="P681" s="531">
        <v>2.0</v>
      </c>
      <c r="Q681" s="447">
        <v>5.0</v>
      </c>
      <c r="R681" s="548"/>
      <c r="S681" s="533">
        <f>IF(ISTEXT($V681), "TBD", RANK(V681,$V677:$V683))</f>
        <v>7</v>
      </c>
      <c r="T681" s="534">
        <v>1.0</v>
      </c>
      <c r="U681" s="535" t="b">
        <f>Rankings!$S681=Rankings!$T681</f>
        <v>0</v>
      </c>
      <c r="V681" s="527">
        <f>IF(ISTEXT(Rankings!F681), "TBD", (RANK($F681,$F677:$F683) + IF(ISTEXT($H681), 0, (RANK($H681,$H677:$H683)/10)) + (RANK($G681,$G677:$G683)/100)))</f>
        <v>1.14</v>
      </c>
      <c r="W681" s="153"/>
      <c r="X681" s="234"/>
      <c r="Y681" s="234"/>
      <c r="Z681" s="234"/>
      <c r="AA681" s="234"/>
    </row>
    <row r="682" ht="15.75" customHeight="1">
      <c r="A682" s="134"/>
      <c r="B682" s="134"/>
      <c r="C682" s="134"/>
      <c r="D682" s="415">
        <f t="shared" si="99"/>
        <v>46136</v>
      </c>
      <c r="E682" s="472" t="str">
        <f>$P$1</f>
        <v>Weston</v>
      </c>
      <c r="F682" s="542">
        <f>IFERROR(AVERAGE(Rankings!$K682:$R682), "TBD")</f>
        <v>4.142857143</v>
      </c>
      <c r="G682" s="542">
        <f>IFERROR(_xlfn.STDEV.P(Rankings!$K682:$R682), "TBD")</f>
        <v>2.099562637</v>
      </c>
      <c r="H682" s="542">
        <f>IFERROR(AVERAGE(Rankings!$K682:$O682, Rankings!$Q682:$R682), "TBD")</f>
        <v>4.666666667</v>
      </c>
      <c r="I682" s="543" t="s">
        <v>1646</v>
      </c>
      <c r="J682" s="543" t="s">
        <v>1647</v>
      </c>
      <c r="K682" s="530">
        <v>7.0</v>
      </c>
      <c r="L682" s="531">
        <v>5.0</v>
      </c>
      <c r="M682" s="531">
        <v>3.0</v>
      </c>
      <c r="N682" s="531">
        <v>7.0</v>
      </c>
      <c r="O682" s="531">
        <v>3.0</v>
      </c>
      <c r="P682" s="531">
        <v>1.0</v>
      </c>
      <c r="Q682" s="447">
        <v>3.0</v>
      </c>
      <c r="R682" s="548"/>
      <c r="S682" s="533">
        <f>IF(ISTEXT($V682), "TBD", RANK(V682,$V677:$V683))</f>
        <v>6</v>
      </c>
      <c r="T682" s="534">
        <v>1.0</v>
      </c>
      <c r="U682" s="535" t="b">
        <f>Rankings!$S682=Rankings!$T682</f>
        <v>0</v>
      </c>
      <c r="V682" s="527">
        <f>IF(ISTEXT(Rankings!F682), "TBD", (RANK($F682,$F677:$F683) + IF(ISTEXT($H682), 0, (RANK($H682,$H677:$H683)/10)) + (RANK($G682,$G677:$G683)/100)))</f>
        <v>2.23</v>
      </c>
      <c r="W682" s="153"/>
      <c r="X682" s="234"/>
      <c r="Y682" s="234"/>
      <c r="Z682" s="234"/>
      <c r="AA682" s="234"/>
    </row>
    <row r="683" ht="15.75" customHeight="1">
      <c r="A683" s="189"/>
      <c r="B683" s="189"/>
      <c r="C683" s="189"/>
      <c r="D683" s="473">
        <f t="shared" si="99"/>
        <v>46136</v>
      </c>
      <c r="E683" s="131" t="str">
        <f>$Q$1</f>
        <v>Flocco</v>
      </c>
      <c r="F683" s="544">
        <f>IFERROR(AVERAGE(Rankings!$K683:$R683), "TBD")</f>
        <v>3.857142857</v>
      </c>
      <c r="G683" s="544">
        <f>IFERROR(_xlfn.STDEV.P(Rankings!$K683:$R683), "TBD")</f>
        <v>1.807015806</v>
      </c>
      <c r="H683" s="544">
        <f>IFERROR(AVERAGE(Rankings!$K683:$P683, Rankings!$R683), "TBD")</f>
        <v>4.333333333</v>
      </c>
      <c r="I683" s="545" t="s">
        <v>1648</v>
      </c>
      <c r="J683" s="545" t="s">
        <v>1649</v>
      </c>
      <c r="K683" s="530">
        <v>5.0</v>
      </c>
      <c r="L683" s="531">
        <v>6.0</v>
      </c>
      <c r="M683" s="531">
        <v>4.0</v>
      </c>
      <c r="N683" s="531">
        <v>6.0</v>
      </c>
      <c r="O683" s="531">
        <v>2.0</v>
      </c>
      <c r="P683" s="531">
        <v>3.0</v>
      </c>
      <c r="Q683" s="447">
        <v>1.0</v>
      </c>
      <c r="R683" s="548"/>
      <c r="S683" s="533">
        <f>IF(ISTEXT($V683), "TBD", RANK(V683,$V677:$V683))</f>
        <v>2</v>
      </c>
      <c r="T683" s="534">
        <v>1.0</v>
      </c>
      <c r="U683" s="535" t="b">
        <f>Rankings!$S683=Rankings!$T683</f>
        <v>0</v>
      </c>
      <c r="V683" s="527">
        <f>IF(ISTEXT(Rankings!F683), "TBD", (RANK($F683,$F677:$F683) + IF(ISTEXT($H683), 0, (RANK($H683,$H677:$H683)/10)) + (RANK($G683,$G677:$G683)/100)))</f>
        <v>6.66</v>
      </c>
      <c r="W683" s="208"/>
      <c r="X683" s="234"/>
      <c r="Y683" s="234"/>
      <c r="Z683" s="234"/>
      <c r="AA683" s="234"/>
    </row>
    <row r="684" ht="15.75" customHeight="1">
      <c r="A684" s="103">
        <v>46139.0</v>
      </c>
      <c r="B684" s="453"/>
      <c r="C684" s="454" t="str">
        <f t="array" ref="C684">INDEX(Rankings!$E684:$E690, MATCH(1, (Rankings!$D684:$D690=$A684)*(Rankings!$U684:$U690=TRUE()), 0))</f>
        <v>Weston</v>
      </c>
      <c r="D684" s="398">
        <f>A684</f>
        <v>46139</v>
      </c>
      <c r="E684" s="455" t="str">
        <f>$K$1</f>
        <v>Logan</v>
      </c>
      <c r="F684" s="519">
        <f>IFERROR(AVERAGE(Rankings!$K684:$R684), "TBD")</f>
        <v>5</v>
      </c>
      <c r="G684" s="519">
        <f>IFERROR(_xlfn.STDEV.P(Rankings!$K684:$R684), "TBD")</f>
        <v>1.414213562</v>
      </c>
      <c r="H684" s="519">
        <f>IFERROR(AVERAGE(Rankings!$L684:$R684), "TBD")</f>
        <v>5.6</v>
      </c>
      <c r="I684" s="520" t="s">
        <v>1650</v>
      </c>
      <c r="J684" s="520" t="s">
        <v>1651</v>
      </c>
      <c r="K684" s="521">
        <v>2.0</v>
      </c>
      <c r="L684" s="522">
        <v>5.0</v>
      </c>
      <c r="M684" s="522">
        <v>5.0</v>
      </c>
      <c r="N684" s="549"/>
      <c r="O684" s="522">
        <v>6.0</v>
      </c>
      <c r="P684" s="522">
        <v>6.0</v>
      </c>
      <c r="Q684" s="445">
        <v>6.0</v>
      </c>
      <c r="R684" s="523"/>
      <c r="S684" s="524">
        <f>IF(ISTEXT($V684), "TBD", RANK(V684,$V684:$V690))</f>
        <v>6</v>
      </c>
      <c r="T684" s="525">
        <v>1.0</v>
      </c>
      <c r="U684" s="526" t="b">
        <f>Rankings!$S684=Rankings!$T684</f>
        <v>0</v>
      </c>
      <c r="V684" s="527">
        <f>IF(ISTEXT(Rankings!F684), "TBD", (RANK($F684,$F684:$F690) + IF(ISTEXT($H684), 0, (RANK($H684,$H684:$H690)/10)) + (RANK($G684,$G684:$G690)/100)))</f>
        <v>2.26</v>
      </c>
      <c r="W684" s="462"/>
    </row>
    <row r="685" ht="15.75" customHeight="1">
      <c r="A685" s="134"/>
      <c r="B685" s="134"/>
      <c r="C685" s="134"/>
      <c r="D685" s="402">
        <f>D684</f>
        <v>46139</v>
      </c>
      <c r="E685" s="463" t="str">
        <f>$L$1</f>
        <v>Parker</v>
      </c>
      <c r="F685" s="528">
        <f>IFERROR(AVERAGE(Rankings!$K685:$R685), "TBD")</f>
        <v>5.333333333</v>
      </c>
      <c r="G685" s="528">
        <f>IFERROR(_xlfn.STDEV.P(Rankings!$K685:$R685), "TBD")</f>
        <v>1.795054936</v>
      </c>
      <c r="H685" s="528">
        <f>IFERROR(AVERAGE(Rankings!$K685, Rankings!$M685:$R685), "TBD")</f>
        <v>5.8</v>
      </c>
      <c r="I685" s="529" t="s">
        <v>1652</v>
      </c>
      <c r="J685" s="529" t="s">
        <v>1653</v>
      </c>
      <c r="K685" s="530">
        <v>5.0</v>
      </c>
      <c r="L685" s="531">
        <v>3.0</v>
      </c>
      <c r="M685" s="531">
        <v>3.0</v>
      </c>
      <c r="N685" s="550"/>
      <c r="O685" s="531">
        <v>7.0</v>
      </c>
      <c r="P685" s="531">
        <v>7.0</v>
      </c>
      <c r="Q685" s="447">
        <v>7.0</v>
      </c>
      <c r="R685" s="532"/>
      <c r="S685" s="533">
        <f>IF(ISTEXT($V685), "TBD", RANK(V685,$V684:$V690))</f>
        <v>7</v>
      </c>
      <c r="T685" s="534">
        <v>1.0</v>
      </c>
      <c r="U685" s="535" t="b">
        <f>Rankings!$S685=Rankings!$T685</f>
        <v>0</v>
      </c>
      <c r="V685" s="527">
        <f>IF(ISTEXT(Rankings!F685), "TBD", (RANK($F685,$F684:$F690) + IF(ISTEXT($H685), 0, (RANK($H685,$H684:$H690)/10)) + (RANK($G685,$G684:$G690)/100)))</f>
        <v>1.12</v>
      </c>
      <c r="W685" s="153"/>
    </row>
    <row r="686" ht="15.75" customHeight="1">
      <c r="A686" s="134"/>
      <c r="B686" s="134"/>
      <c r="C686" s="134"/>
      <c r="D686" s="406">
        <f>D684</f>
        <v>46139</v>
      </c>
      <c r="E686" s="469" t="str">
        <f>$M$1</f>
        <v>Giacomo</v>
      </c>
      <c r="F686" s="536">
        <f>IFERROR(AVERAGE(Rankings!$K686:$R686), "TBD")</f>
        <v>3.333333333</v>
      </c>
      <c r="G686" s="536">
        <f>IFERROR(_xlfn.STDEV.P(Rankings!$K686:$R686), "TBD")</f>
        <v>1.490711985</v>
      </c>
      <c r="H686" s="536">
        <f>IFERROR(AVERAGE(Rankings!$K686:$L686, Rankings!$N686:$R686), "TBD")</f>
        <v>3.6</v>
      </c>
      <c r="I686" s="537" t="s">
        <v>1654</v>
      </c>
      <c r="J686" s="537" t="s">
        <v>1655</v>
      </c>
      <c r="K686" s="530">
        <v>6.0</v>
      </c>
      <c r="L686" s="531">
        <v>2.0</v>
      </c>
      <c r="M686" s="531">
        <v>2.0</v>
      </c>
      <c r="N686" s="550"/>
      <c r="O686" s="531">
        <v>4.0</v>
      </c>
      <c r="P686" s="531">
        <v>2.0</v>
      </c>
      <c r="Q686" s="447">
        <v>4.0</v>
      </c>
      <c r="R686" s="532"/>
      <c r="S686" s="533">
        <f>IF(ISTEXT($V686), "TBD", RANK(V686,$V684:$V690))</f>
        <v>3</v>
      </c>
      <c r="T686" s="534">
        <v>1.0</v>
      </c>
      <c r="U686" s="535" t="b">
        <f>Rankings!$S686=Rankings!$T686</f>
        <v>0</v>
      </c>
      <c r="V686" s="527">
        <f>IF(ISTEXT(Rankings!F686), "TBD", (RANK($F686,$F684:$F690) + IF(ISTEXT($H686), 0, (RANK($H686,$H684:$H690)/10)) + (RANK($G686,$G684:$G690)/100)))</f>
        <v>5.55</v>
      </c>
      <c r="W686" s="153"/>
    </row>
    <row r="687" ht="15.75" customHeight="1">
      <c r="A687" s="134"/>
      <c r="B687" s="134"/>
      <c r="C687" s="134"/>
      <c r="D687" s="409">
        <f>D684</f>
        <v>46139</v>
      </c>
      <c r="E687" s="470" t="str">
        <f>$N$1</f>
        <v>Rosey</v>
      </c>
      <c r="F687" s="538">
        <f>IFERROR(AVERAGE(Rankings!$K687:$R687), "TBD")</f>
        <v>4.333333333</v>
      </c>
      <c r="G687" s="538">
        <f>IFERROR(_xlfn.STDEV.P(Rankings!$K687:$R687), "TBD")</f>
        <v>1.795054936</v>
      </c>
      <c r="H687" s="538">
        <f>IFERROR(AVERAGE(Rankings!$K687:$M687, Rankings!$O687:$R687), "TBD")</f>
        <v>4.333333333</v>
      </c>
      <c r="I687" s="539" t="s">
        <v>1656</v>
      </c>
      <c r="J687" s="539" t="s">
        <v>1657</v>
      </c>
      <c r="K687" s="530">
        <v>1.0</v>
      </c>
      <c r="L687" s="531">
        <v>6.0</v>
      </c>
      <c r="M687" s="531">
        <v>6.0</v>
      </c>
      <c r="N687" s="550"/>
      <c r="O687" s="531">
        <v>5.0</v>
      </c>
      <c r="P687" s="531">
        <v>5.0</v>
      </c>
      <c r="Q687" s="447">
        <v>3.0</v>
      </c>
      <c r="R687" s="532"/>
      <c r="S687" s="533">
        <f>IF(ISTEXT($V687), "TBD", RANK(V687,$V684:$V690))</f>
        <v>4</v>
      </c>
      <c r="T687" s="534">
        <v>1.0</v>
      </c>
      <c r="U687" s="535" t="b">
        <f>Rankings!$S687=Rankings!$T687</f>
        <v>0</v>
      </c>
      <c r="V687" s="527">
        <f>IF(ISTEXT(Rankings!F687), "TBD", (RANK($F687,$F684:$F690) + IF(ISTEXT($H687), 0, (RANK($H687,$H684:$H690)/10)) + (RANK($G687,$G684:$G690)/100)))</f>
        <v>4.43</v>
      </c>
      <c r="W687" s="153"/>
    </row>
    <row r="688" ht="15.75" customHeight="1">
      <c r="A688" s="134"/>
      <c r="B688" s="134"/>
      <c r="C688" s="134"/>
      <c r="D688" s="412">
        <f t="shared" ref="D688:D690" si="100">D684</f>
        <v>46139</v>
      </c>
      <c r="E688" s="471" t="str">
        <f>$O$1</f>
        <v>TTAC</v>
      </c>
      <c r="F688" s="540">
        <f>IFERROR(AVERAGE(Rankings!$K688:$R688), "TBD")</f>
        <v>4.833333333</v>
      </c>
      <c r="G688" s="540">
        <f>IFERROR(_xlfn.STDEV.P(Rankings!$K688:$R688), "TBD")</f>
        <v>1.67497927</v>
      </c>
      <c r="H688" s="540">
        <f>IFERROR(AVERAGE(Rankings!$K688:$N688, Rankings!$P688:$R688), "TBD")</f>
        <v>5.2</v>
      </c>
      <c r="I688" s="541" t="s">
        <v>1658</v>
      </c>
      <c r="J688" s="541" t="s">
        <v>1659</v>
      </c>
      <c r="K688" s="530">
        <v>3.0</v>
      </c>
      <c r="L688" s="531">
        <v>7.0</v>
      </c>
      <c r="M688" s="531">
        <v>7.0</v>
      </c>
      <c r="N688" s="550"/>
      <c r="O688" s="531">
        <v>3.0</v>
      </c>
      <c r="P688" s="531">
        <v>4.0</v>
      </c>
      <c r="Q688" s="447">
        <v>5.0</v>
      </c>
      <c r="R688" s="532"/>
      <c r="S688" s="533">
        <f>IF(ISTEXT($V688), "TBD", RANK(V688,$V684:$V690))</f>
        <v>5</v>
      </c>
      <c r="T688" s="534">
        <v>1.0</v>
      </c>
      <c r="U688" s="535" t="b">
        <f>Rankings!$S688=Rankings!$T688</f>
        <v>0</v>
      </c>
      <c r="V688" s="527">
        <f>IF(ISTEXT(Rankings!F688), "TBD", (RANK($F688,$F684:$F690) + IF(ISTEXT($H688), 0, (RANK($H688,$H684:$H690)/10)) + (RANK($G688,$G684:$G690)/100)))</f>
        <v>3.34</v>
      </c>
      <c r="W688" s="153"/>
    </row>
    <row r="689" ht="15.75" customHeight="1">
      <c r="A689" s="134"/>
      <c r="B689" s="134"/>
      <c r="C689" s="134"/>
      <c r="D689" s="415">
        <f t="shared" si="100"/>
        <v>46139</v>
      </c>
      <c r="E689" s="472" t="str">
        <f>$P$1</f>
        <v>Weston</v>
      </c>
      <c r="F689" s="542">
        <f>IFERROR(AVERAGE(Rankings!$K689:$R689), "TBD")</f>
        <v>2.333333333</v>
      </c>
      <c r="G689" s="542">
        <f>IFERROR(_xlfn.STDEV.P(Rankings!$K689:$R689), "TBD")</f>
        <v>2.134374746</v>
      </c>
      <c r="H689" s="542">
        <f>IFERROR(AVERAGE(Rankings!$K689:$O689, Rankings!$Q689:$R689), "TBD")</f>
        <v>2.6</v>
      </c>
      <c r="I689" s="543" t="s">
        <v>1660</v>
      </c>
      <c r="J689" s="543" t="s">
        <v>1661</v>
      </c>
      <c r="K689" s="530">
        <v>7.0</v>
      </c>
      <c r="L689" s="531">
        <v>1.0</v>
      </c>
      <c r="M689" s="531">
        <v>1.0</v>
      </c>
      <c r="N689" s="550"/>
      <c r="O689" s="531">
        <v>2.0</v>
      </c>
      <c r="P689" s="531">
        <v>1.0</v>
      </c>
      <c r="Q689" s="447">
        <v>2.0</v>
      </c>
      <c r="R689" s="532"/>
      <c r="S689" s="533">
        <f>IF(ISTEXT($V689), "TBD", RANK(V689,$V684:$V690))</f>
        <v>1</v>
      </c>
      <c r="T689" s="534">
        <v>1.0</v>
      </c>
      <c r="U689" s="535" t="b">
        <f>Rankings!$S689=Rankings!$T689</f>
        <v>1</v>
      </c>
      <c r="V689" s="527">
        <f>IF(ISTEXT(Rankings!F689), "TBD", (RANK($F689,$F684:$F690) + IF(ISTEXT($H689), 0, (RANK($H689,$H684:$H690)/10)) + (RANK($G689,$G684:$G690)/100)))</f>
        <v>7.71</v>
      </c>
      <c r="W689" s="153"/>
    </row>
    <row r="690" ht="15.75" customHeight="1">
      <c r="A690" s="189"/>
      <c r="B690" s="189"/>
      <c r="C690" s="189"/>
      <c r="D690" s="473">
        <f t="shared" si="100"/>
        <v>46139</v>
      </c>
      <c r="E690" s="131" t="str">
        <f>$Q$1</f>
        <v>Flocco</v>
      </c>
      <c r="F690" s="544">
        <f>IFERROR(AVERAGE(Rankings!$K690:$R690), "TBD")</f>
        <v>2.833333333</v>
      </c>
      <c r="G690" s="544">
        <f>IFERROR(_xlfn.STDEV.P(Rankings!$K690:$R690), "TBD")</f>
        <v>1.343709625</v>
      </c>
      <c r="H690" s="544">
        <f>IFERROR(AVERAGE(Rankings!$K690:$P690, Rankings!$R690), "TBD")</f>
        <v>3.2</v>
      </c>
      <c r="I690" s="545" t="s">
        <v>1662</v>
      </c>
      <c r="J690" s="545" t="s">
        <v>1663</v>
      </c>
      <c r="K690" s="530">
        <v>4.0</v>
      </c>
      <c r="L690" s="531">
        <v>4.0</v>
      </c>
      <c r="M690" s="531">
        <v>4.0</v>
      </c>
      <c r="N690" s="550"/>
      <c r="O690" s="531">
        <v>1.0</v>
      </c>
      <c r="P690" s="531">
        <v>3.0</v>
      </c>
      <c r="Q690" s="447">
        <v>1.0</v>
      </c>
      <c r="R690" s="532"/>
      <c r="S690" s="533">
        <f>IF(ISTEXT($V690), "TBD", RANK(V690,$V684:$V690))</f>
        <v>2</v>
      </c>
      <c r="T690" s="534">
        <v>1.0</v>
      </c>
      <c r="U690" s="535" t="b">
        <f>Rankings!$S690=Rankings!$T690</f>
        <v>0</v>
      </c>
      <c r="V690" s="527">
        <f>IF(ISTEXT(Rankings!F690), "TBD", (RANK($F690,$F684:$F690) + IF(ISTEXT($H690), 0, (RANK($H690,$H684:$H690)/10)) + (RANK($G690,$G684:$G690)/100)))</f>
        <v>6.67</v>
      </c>
      <c r="W690" s="208"/>
    </row>
    <row r="691" ht="15.75" customHeight="1">
      <c r="A691" s="103">
        <v>46141.0</v>
      </c>
      <c r="B691" s="453"/>
      <c r="C691" s="454" t="str">
        <f t="array" ref="C691">INDEX(Rankings!$E691:$E697, MATCH(1, (Rankings!$D691:$D697=$A691)*(Rankings!$U691:$U697=TRUE()), 0))</f>
        <v>Flocco</v>
      </c>
      <c r="D691" s="398">
        <f>A691</f>
        <v>46141</v>
      </c>
      <c r="E691" s="455" t="str">
        <f>$K$1</f>
        <v>Logan</v>
      </c>
      <c r="F691" s="519">
        <f>IFERROR(AVERAGE(Rankings!$K691:$R691), "TBD")</f>
        <v>2.833333333</v>
      </c>
      <c r="G691" s="519">
        <f>IFERROR(_xlfn.STDEV.P(Rankings!$K691:$R691), "TBD")</f>
        <v>1.572330189</v>
      </c>
      <c r="H691" s="519">
        <f>IFERROR(AVERAGE(Rankings!$L691:$R691), "TBD")</f>
        <v>3</v>
      </c>
      <c r="I691" s="520" t="s">
        <v>1664</v>
      </c>
      <c r="J691" s="520" t="s">
        <v>1665</v>
      </c>
      <c r="K691" s="521">
        <v>2.0</v>
      </c>
      <c r="L691" s="522">
        <v>3.0</v>
      </c>
      <c r="M691" s="522">
        <v>6.0</v>
      </c>
      <c r="N691" s="549"/>
      <c r="O691" s="522">
        <v>3.0</v>
      </c>
      <c r="P691" s="522">
        <v>1.0</v>
      </c>
      <c r="Q691" s="445">
        <v>2.0</v>
      </c>
      <c r="R691" s="523"/>
      <c r="S691" s="524">
        <f>IF(ISTEXT($V691), "TBD", RANK(V691,$V691:$V697))</f>
        <v>2</v>
      </c>
      <c r="T691" s="525">
        <v>1.0</v>
      </c>
      <c r="U691" s="526" t="b">
        <f>Rankings!$S691=Rankings!$T691</f>
        <v>0</v>
      </c>
      <c r="V691" s="527">
        <f>IF(ISTEXT(Rankings!F691), "TBD", (RANK($F691,$F691:$F697) + IF(ISTEXT($H691), 0, (RANK($H691,$H691:$H697)/10)) + (RANK($G691,$G691:$G697)/100)))</f>
        <v>6.54</v>
      </c>
      <c r="W691" s="462"/>
    </row>
    <row r="692" ht="15.75" customHeight="1">
      <c r="A692" s="134"/>
      <c r="B692" s="134"/>
      <c r="C692" s="134"/>
      <c r="D692" s="402">
        <f>D691</f>
        <v>46141</v>
      </c>
      <c r="E692" s="463" t="str">
        <f>$L$1</f>
        <v>Parker</v>
      </c>
      <c r="F692" s="528">
        <f>IFERROR(AVERAGE(Rankings!$K692:$R692), "TBD")</f>
        <v>5.666666667</v>
      </c>
      <c r="G692" s="528">
        <f>IFERROR(_xlfn.STDEV.P(Rankings!$K692:$R692), "TBD")</f>
        <v>1.972026594</v>
      </c>
      <c r="H692" s="528">
        <f>IFERROR(AVERAGE(Rankings!$K692, Rankings!$M692:$R692), "TBD")</f>
        <v>6</v>
      </c>
      <c r="I692" s="529" t="s">
        <v>1666</v>
      </c>
      <c r="J692" s="529" t="s">
        <v>1667</v>
      </c>
      <c r="K692" s="530">
        <v>7.0</v>
      </c>
      <c r="L692" s="531">
        <v>4.0</v>
      </c>
      <c r="M692" s="531">
        <v>2.0</v>
      </c>
      <c r="N692" s="550"/>
      <c r="O692" s="531">
        <v>7.0</v>
      </c>
      <c r="P692" s="531">
        <v>7.0</v>
      </c>
      <c r="Q692" s="447">
        <v>7.0</v>
      </c>
      <c r="R692" s="532"/>
      <c r="S692" s="533">
        <f>IF(ISTEXT($V692), "TBD", RANK(V692,$V691:$V697))</f>
        <v>7</v>
      </c>
      <c r="T692" s="534">
        <v>1.0</v>
      </c>
      <c r="U692" s="535" t="b">
        <f>Rankings!$S692=Rankings!$T692</f>
        <v>0</v>
      </c>
      <c r="V692" s="527">
        <f>IF(ISTEXT(Rankings!F692), "TBD", (RANK($F692,$F691:$F697) + IF(ISTEXT($H692), 0, (RANK($H692,$H691:$H697)/10)) + (RANK($G692,$G691:$G697)/100)))</f>
        <v>1.11</v>
      </c>
      <c r="W692" s="153"/>
    </row>
    <row r="693" ht="15.75" customHeight="1">
      <c r="A693" s="134"/>
      <c r="B693" s="134"/>
      <c r="C693" s="134"/>
      <c r="D693" s="406">
        <f>D691</f>
        <v>46141</v>
      </c>
      <c r="E693" s="469" t="str">
        <f>$M$1</f>
        <v>Giacomo</v>
      </c>
      <c r="F693" s="536">
        <f>IFERROR(AVERAGE(Rankings!$K693:$R693), "TBD")</f>
        <v>3</v>
      </c>
      <c r="G693" s="536">
        <f>IFERROR(_xlfn.STDEV.P(Rankings!$K693:$R693), "TBD")</f>
        <v>1.290994449</v>
      </c>
      <c r="H693" s="536">
        <f>IFERROR(AVERAGE(Rankings!$K693:$L693, Rankings!$N693:$R693), "TBD")</f>
        <v>3</v>
      </c>
      <c r="I693" s="537" t="s">
        <v>1668</v>
      </c>
      <c r="J693" s="537" t="s">
        <v>1669</v>
      </c>
      <c r="K693" s="530">
        <v>3.0</v>
      </c>
      <c r="L693" s="531">
        <v>1.0</v>
      </c>
      <c r="M693" s="531">
        <v>3.0</v>
      </c>
      <c r="N693" s="550"/>
      <c r="O693" s="531">
        <v>2.0</v>
      </c>
      <c r="P693" s="531">
        <v>5.0</v>
      </c>
      <c r="Q693" s="447">
        <v>4.0</v>
      </c>
      <c r="R693" s="532"/>
      <c r="S693" s="533">
        <f>IF(ISTEXT($V693), "TBD", RANK(V693,$V691:$V697))</f>
        <v>3</v>
      </c>
      <c r="T693" s="534">
        <v>1.0</v>
      </c>
      <c r="U693" s="535" t="b">
        <f>Rankings!$S693=Rankings!$T693</f>
        <v>0</v>
      </c>
      <c r="V693" s="527">
        <f>IF(ISTEXT(Rankings!F693), "TBD", (RANK($F693,$F691:$F697) + IF(ISTEXT($H693), 0, (RANK($H693,$H691:$H697)/10)) + (RANK($G693,$G691:$G697)/100)))</f>
        <v>5.55</v>
      </c>
      <c r="W693" s="153"/>
    </row>
    <row r="694" ht="15.75" customHeight="1">
      <c r="A694" s="134"/>
      <c r="B694" s="134"/>
      <c r="C694" s="134"/>
      <c r="D694" s="409">
        <f>D691</f>
        <v>46141</v>
      </c>
      <c r="E694" s="470" t="str">
        <f>$N$1</f>
        <v>Rosey</v>
      </c>
      <c r="F694" s="538">
        <f>IFERROR(AVERAGE(Rankings!$K694:$R694), "TBD")</f>
        <v>5.333333333</v>
      </c>
      <c r="G694" s="538">
        <f>IFERROR(_xlfn.STDEV.P(Rankings!$K694:$R694), "TBD")</f>
        <v>1.105541597</v>
      </c>
      <c r="H694" s="538">
        <f>IFERROR(AVERAGE(Rankings!$K694:$M694, Rankings!$O694:$R694), "TBD")</f>
        <v>5.333333333</v>
      </c>
      <c r="I694" s="539" t="s">
        <v>1670</v>
      </c>
      <c r="J694" s="539" t="s">
        <v>1671</v>
      </c>
      <c r="K694" s="530">
        <v>4.0</v>
      </c>
      <c r="L694" s="531">
        <v>7.0</v>
      </c>
      <c r="M694" s="531">
        <v>4.0</v>
      </c>
      <c r="N694" s="550"/>
      <c r="O694" s="531">
        <v>5.0</v>
      </c>
      <c r="P694" s="531">
        <v>6.0</v>
      </c>
      <c r="Q694" s="447">
        <v>6.0</v>
      </c>
      <c r="R694" s="532"/>
      <c r="S694" s="533">
        <f>IF(ISTEXT($V694), "TBD", RANK(V694,$V691:$V697))</f>
        <v>6</v>
      </c>
      <c r="T694" s="534">
        <v>1.0</v>
      </c>
      <c r="U694" s="535" t="b">
        <f>Rankings!$S694=Rankings!$T694</f>
        <v>0</v>
      </c>
      <c r="V694" s="527">
        <f>IF(ISTEXT(Rankings!F694), "TBD", (RANK($F694,$F691:$F697) + IF(ISTEXT($H694), 0, (RANK($H694,$H691:$H697)/10)) + (RANK($G694,$G691:$G697)/100)))</f>
        <v>2.36</v>
      </c>
      <c r="W694" s="153"/>
    </row>
    <row r="695" ht="15.75" customHeight="1">
      <c r="A695" s="134"/>
      <c r="B695" s="134"/>
      <c r="C695" s="134"/>
      <c r="D695" s="412">
        <f t="shared" ref="D695:D697" si="101">D691</f>
        <v>46141</v>
      </c>
      <c r="E695" s="471" t="str">
        <f>$O$1</f>
        <v>TTAC</v>
      </c>
      <c r="F695" s="540">
        <f>IFERROR(AVERAGE(Rankings!$K695:$R695), "TBD")</f>
        <v>3.833333333</v>
      </c>
      <c r="G695" s="540">
        <f>IFERROR(_xlfn.STDEV.P(Rankings!$K695:$R695), "TBD")</f>
        <v>1.67497927</v>
      </c>
      <c r="H695" s="540">
        <f>IFERROR(AVERAGE(Rankings!$K695:$N695, Rankings!$P695:$R695), "TBD")</f>
        <v>4.4</v>
      </c>
      <c r="I695" s="541" t="s">
        <v>1672</v>
      </c>
      <c r="J695" s="541" t="s">
        <v>274</v>
      </c>
      <c r="K695" s="530">
        <v>6.0</v>
      </c>
      <c r="L695" s="531">
        <v>5.0</v>
      </c>
      <c r="M695" s="531">
        <v>5.0</v>
      </c>
      <c r="N695" s="550"/>
      <c r="O695" s="531">
        <v>1.0</v>
      </c>
      <c r="P695" s="531">
        <v>3.0</v>
      </c>
      <c r="Q695" s="447">
        <v>3.0</v>
      </c>
      <c r="R695" s="532"/>
      <c r="S695" s="533">
        <f>IF(ISTEXT($V695), "TBD", RANK(V695,$V691:$V697))</f>
        <v>4</v>
      </c>
      <c r="T695" s="534">
        <v>1.0</v>
      </c>
      <c r="U695" s="535" t="b">
        <f>Rankings!$S695=Rankings!$T695</f>
        <v>0</v>
      </c>
      <c r="V695" s="527">
        <f>IF(ISTEXT(Rankings!F695), "TBD", (RANK($F695,$F691:$F697) + IF(ISTEXT($H695), 0, (RANK($H695,$H691:$H697)/10)) + (RANK($G695,$G691:$G697)/100)))</f>
        <v>4.43</v>
      </c>
      <c r="W695" s="153"/>
    </row>
    <row r="696" ht="15.75" customHeight="1">
      <c r="A696" s="134"/>
      <c r="B696" s="134"/>
      <c r="C696" s="134"/>
      <c r="D696" s="415">
        <f t="shared" si="101"/>
        <v>46141</v>
      </c>
      <c r="E696" s="472" t="str">
        <f>$P$1</f>
        <v>Weston</v>
      </c>
      <c r="F696" s="542">
        <f>IFERROR(AVERAGE(Rankings!$K696:$R696), "TBD")</f>
        <v>5.166666667</v>
      </c>
      <c r="G696" s="542">
        <f>IFERROR(_xlfn.STDEV.P(Rankings!$K696:$R696), "TBD")</f>
        <v>1.067187373</v>
      </c>
      <c r="H696" s="542">
        <f>IFERROR(AVERAGE(Rankings!$K696:$O696, Rankings!$Q696:$R696), "TBD")</f>
        <v>5.4</v>
      </c>
      <c r="I696" s="543" t="s">
        <v>1673</v>
      </c>
      <c r="J696" s="543" t="s">
        <v>1674</v>
      </c>
      <c r="K696" s="530">
        <v>5.0</v>
      </c>
      <c r="L696" s="531">
        <v>6.0</v>
      </c>
      <c r="M696" s="531">
        <v>7.0</v>
      </c>
      <c r="N696" s="550"/>
      <c r="O696" s="531">
        <v>4.0</v>
      </c>
      <c r="P696" s="531">
        <v>4.0</v>
      </c>
      <c r="Q696" s="447">
        <v>5.0</v>
      </c>
      <c r="R696" s="532"/>
      <c r="S696" s="533">
        <f>IF(ISTEXT($V696), "TBD", RANK(V696,$V691:$V697))</f>
        <v>5</v>
      </c>
      <c r="T696" s="534">
        <v>1.0</v>
      </c>
      <c r="U696" s="535" t="b">
        <f>Rankings!$S696=Rankings!$T696</f>
        <v>0</v>
      </c>
      <c r="V696" s="527">
        <f>IF(ISTEXT(Rankings!F696), "TBD", (RANK($F696,$F691:$F697) + IF(ISTEXT($H696), 0, (RANK($H696,$H691:$H697)/10)) + (RANK($G696,$G691:$G697)/100)))</f>
        <v>3.27</v>
      </c>
      <c r="W696" s="153"/>
    </row>
    <row r="697" ht="15.75" customHeight="1">
      <c r="A697" s="189"/>
      <c r="B697" s="189"/>
      <c r="C697" s="189"/>
      <c r="D697" s="473">
        <f t="shared" si="101"/>
        <v>46141</v>
      </c>
      <c r="E697" s="131" t="str">
        <f>$Q$1</f>
        <v>Flocco</v>
      </c>
      <c r="F697" s="544">
        <f>IFERROR(AVERAGE(Rankings!$K697:$R697), "TBD")</f>
        <v>2.166666667</v>
      </c>
      <c r="G697" s="544">
        <f>IFERROR(_xlfn.STDEV.P(Rankings!$K697:$R697), "TBD")</f>
        <v>1.771690969</v>
      </c>
      <c r="H697" s="544">
        <f>IFERROR(AVERAGE(Rankings!$K697:$P697, Rankings!$R697), "TBD")</f>
        <v>2.4</v>
      </c>
      <c r="I697" s="545" t="s">
        <v>1675</v>
      </c>
      <c r="J697" s="545" t="s">
        <v>1676</v>
      </c>
      <c r="K697" s="530">
        <v>1.0</v>
      </c>
      <c r="L697" s="531">
        <v>2.0</v>
      </c>
      <c r="M697" s="531">
        <v>1.0</v>
      </c>
      <c r="N697" s="550"/>
      <c r="O697" s="531">
        <v>6.0</v>
      </c>
      <c r="P697" s="531">
        <v>2.0</v>
      </c>
      <c r="Q697" s="447">
        <v>1.0</v>
      </c>
      <c r="R697" s="532"/>
      <c r="S697" s="533">
        <f>IF(ISTEXT($V697), "TBD", RANK(V697,$V691:$V697))</f>
        <v>1</v>
      </c>
      <c r="T697" s="534">
        <v>1.0</v>
      </c>
      <c r="U697" s="535" t="b">
        <f>Rankings!$S697=Rankings!$T697</f>
        <v>1</v>
      </c>
      <c r="V697" s="527">
        <f>IF(ISTEXT(Rankings!F697), "TBD", (RANK($F697,$F691:$F697) + IF(ISTEXT($H697), 0, (RANK($H697,$H691:$H697)/10)) + (RANK($G697,$G691:$G697)/100)))</f>
        <v>7.72</v>
      </c>
      <c r="W697" s="208"/>
    </row>
    <row r="698" ht="15.75" customHeight="1">
      <c r="A698" s="103">
        <v>46143.0</v>
      </c>
      <c r="B698" s="453"/>
      <c r="C698" s="454" t="str">
        <f t="array" ref="C698">INDEX(Rankings!$E698:$E704, MATCH(1, (Rankings!$D698:$D704=$A698)*(Rankings!$U698:$U704=TRUE()), 0))</f>
        <v>Flocco</v>
      </c>
      <c r="D698" s="398">
        <f>A698</f>
        <v>46143</v>
      </c>
      <c r="E698" s="455" t="str">
        <f>$K$1</f>
        <v>Logan</v>
      </c>
      <c r="F698" s="519">
        <f>IFERROR(AVERAGE(Rankings!$K698:$R698), "TBD")</f>
        <v>3.833333333</v>
      </c>
      <c r="G698" s="519">
        <f>IFERROR(_xlfn.STDEV.P(Rankings!$K698:$R698), "TBD")</f>
        <v>1.950783318</v>
      </c>
      <c r="H698" s="519">
        <f>IFERROR(AVERAGE(Rankings!$L698:$R698), "TBD")</f>
        <v>4.4</v>
      </c>
      <c r="I698" s="520" t="s">
        <v>1677</v>
      </c>
      <c r="J698" s="520" t="s">
        <v>1678</v>
      </c>
      <c r="K698" s="521">
        <v>1.0</v>
      </c>
      <c r="L698" s="522">
        <v>4.0</v>
      </c>
      <c r="M698" s="522">
        <v>2.0</v>
      </c>
      <c r="N698" s="549"/>
      <c r="O698" s="522">
        <v>7.0</v>
      </c>
      <c r="P698" s="522">
        <v>4.0</v>
      </c>
      <c r="Q698" s="445">
        <v>5.0</v>
      </c>
      <c r="R698" s="523"/>
      <c r="S698" s="524">
        <f>IF(ISTEXT($V698), "TBD", RANK(V698,$V698:$V704))</f>
        <v>5</v>
      </c>
      <c r="T698" s="525">
        <v>1.0</v>
      </c>
      <c r="U698" s="526" t="b">
        <f>Rankings!$S698=Rankings!$T698</f>
        <v>0</v>
      </c>
      <c r="V698" s="527">
        <f>IF(ISTEXT(Rankings!F698), "TBD", (RANK($F698,$F698:$F704) + IF(ISTEXT($H698), 0, (RANK($H698,$H698:$H704)/10)) + (RANK($G698,$G698:$G704)/100)))</f>
        <v>3.32</v>
      </c>
      <c r="W698" s="259" t="s">
        <v>1679</v>
      </c>
    </row>
    <row r="699" ht="15.75" customHeight="1">
      <c r="A699" s="134"/>
      <c r="B699" s="134"/>
      <c r="C699" s="134"/>
      <c r="D699" s="402">
        <f>D698</f>
        <v>46143</v>
      </c>
      <c r="E699" s="463" t="str">
        <f>$L$1</f>
        <v>Parker</v>
      </c>
      <c r="F699" s="528">
        <f>IFERROR(AVERAGE(Rankings!$K699:$R699), "TBD")</f>
        <v>3.666666667</v>
      </c>
      <c r="G699" s="528">
        <f>IFERROR(_xlfn.STDEV.P(Rankings!$K699:$R699), "TBD")</f>
        <v>1.598610508</v>
      </c>
      <c r="H699" s="528">
        <f>IFERROR(AVERAGE(Rankings!$K699, Rankings!$M699:$R699), "TBD")</f>
        <v>3.8</v>
      </c>
      <c r="I699" s="529" t="s">
        <v>1680</v>
      </c>
      <c r="J699" s="529" t="s">
        <v>1681</v>
      </c>
      <c r="K699" s="530">
        <v>6.0</v>
      </c>
      <c r="L699" s="531">
        <v>3.0</v>
      </c>
      <c r="M699" s="531">
        <v>1.0</v>
      </c>
      <c r="N699" s="550"/>
      <c r="O699" s="531">
        <v>5.0</v>
      </c>
      <c r="P699" s="531">
        <v>3.0</v>
      </c>
      <c r="Q699" s="447">
        <v>4.0</v>
      </c>
      <c r="R699" s="532"/>
      <c r="S699" s="533">
        <f>IF(ISTEXT($V699), "TBD", RANK(V699,$V698:$V704))</f>
        <v>3</v>
      </c>
      <c r="T699" s="534">
        <v>1.0</v>
      </c>
      <c r="U699" s="535" t="b">
        <f>Rankings!$S699=Rankings!$T699</f>
        <v>0</v>
      </c>
      <c r="V699" s="527">
        <f>IF(ISTEXT(Rankings!F699), "TBD", (RANK($F699,$F698:$F704) + IF(ISTEXT($H699), 0, (RANK($H699,$H698:$H704)/10)) + (RANK($G699,$G698:$G704)/100)))</f>
        <v>5.55</v>
      </c>
      <c r="W699" s="153"/>
    </row>
    <row r="700" ht="15.75" customHeight="1">
      <c r="A700" s="134"/>
      <c r="B700" s="134"/>
      <c r="C700" s="134"/>
      <c r="D700" s="406">
        <f>D698</f>
        <v>46143</v>
      </c>
      <c r="E700" s="469" t="str">
        <f>$M$1</f>
        <v>Giacomo</v>
      </c>
      <c r="F700" s="536">
        <f>IFERROR(AVERAGE(Rankings!$K700:$R700), "TBD")</f>
        <v>5.5</v>
      </c>
      <c r="G700" s="536">
        <f>IFERROR(_xlfn.STDEV.P(Rankings!$K700:$R700), "TBD")</f>
        <v>1.38443731</v>
      </c>
      <c r="H700" s="536">
        <f>IFERROR(AVERAGE(Rankings!$K700:$L700, Rankings!$N700:$R700), "TBD")</f>
        <v>6</v>
      </c>
      <c r="I700" s="537" t="s">
        <v>1682</v>
      </c>
      <c r="J700" s="537" t="s">
        <v>712</v>
      </c>
      <c r="K700" s="530">
        <v>7.0</v>
      </c>
      <c r="L700" s="531">
        <v>5.0</v>
      </c>
      <c r="M700" s="531">
        <v>3.0</v>
      </c>
      <c r="N700" s="550"/>
      <c r="O700" s="531">
        <v>6.0</v>
      </c>
      <c r="P700" s="531">
        <v>5.0</v>
      </c>
      <c r="Q700" s="447">
        <v>7.0</v>
      </c>
      <c r="R700" s="532"/>
      <c r="S700" s="533">
        <f>IF(ISTEXT($V700), "TBD", RANK(V700,$V698:$V704))</f>
        <v>7</v>
      </c>
      <c r="T700" s="534">
        <v>1.0</v>
      </c>
      <c r="U700" s="535" t="b">
        <f>Rankings!$S700=Rankings!$T700</f>
        <v>0</v>
      </c>
      <c r="V700" s="527">
        <f>IF(ISTEXT(Rankings!F700), "TBD", (RANK($F700,$F698:$F704) + IF(ISTEXT($H700), 0, (RANK($H700,$H698:$H704)/10)) + (RANK($G700,$G698:$G704)/100)))</f>
        <v>1.16</v>
      </c>
      <c r="W700" s="153"/>
    </row>
    <row r="701" ht="15.75" customHeight="1">
      <c r="A701" s="134"/>
      <c r="B701" s="134"/>
      <c r="C701" s="134"/>
      <c r="D701" s="409">
        <f>D698</f>
        <v>46143</v>
      </c>
      <c r="E701" s="470" t="str">
        <f>$N$1</f>
        <v>Rosey</v>
      </c>
      <c r="F701" s="538">
        <f>IFERROR(AVERAGE(Rankings!$K701:$R701), "TBD")</f>
        <v>3.833333333</v>
      </c>
      <c r="G701" s="538">
        <f>IFERROR(_xlfn.STDEV.P(Rankings!$K701:$R701), "TBD")</f>
        <v>2.339278141</v>
      </c>
      <c r="H701" s="538">
        <f>IFERROR(AVERAGE(Rankings!$K701:$M701, Rankings!$O701:$R701), "TBD")</f>
        <v>3.833333333</v>
      </c>
      <c r="I701" s="539" t="s">
        <v>1683</v>
      </c>
      <c r="J701" s="539" t="s">
        <v>1396</v>
      </c>
      <c r="K701" s="530">
        <v>3.0</v>
      </c>
      <c r="L701" s="531">
        <v>1.0</v>
      </c>
      <c r="M701" s="531">
        <v>7.0</v>
      </c>
      <c r="N701" s="550"/>
      <c r="O701" s="531">
        <v>2.0</v>
      </c>
      <c r="P701" s="531">
        <v>7.0</v>
      </c>
      <c r="Q701" s="447">
        <v>3.0</v>
      </c>
      <c r="R701" s="532"/>
      <c r="S701" s="533">
        <f>IF(ISTEXT($V701), "TBD", RANK(V701,$V698:$V704))</f>
        <v>4</v>
      </c>
      <c r="T701" s="534">
        <v>1.0</v>
      </c>
      <c r="U701" s="535" t="b">
        <f>Rankings!$S701=Rankings!$T701</f>
        <v>0</v>
      </c>
      <c r="V701" s="527">
        <f>IF(ISTEXT(Rankings!F701), "TBD", (RANK($F701,$F698:$F704) + IF(ISTEXT($H701), 0, (RANK($H701,$H698:$H704)/10)) + (RANK($G701,$G698:$G704)/100)))</f>
        <v>3.41</v>
      </c>
      <c r="W701" s="153"/>
    </row>
    <row r="702" ht="15.75" customHeight="1">
      <c r="A702" s="134"/>
      <c r="B702" s="134"/>
      <c r="C702" s="134"/>
      <c r="D702" s="412">
        <f t="shared" ref="D702:D704" si="102">D698</f>
        <v>46143</v>
      </c>
      <c r="E702" s="471" t="str">
        <f>$O$1</f>
        <v>TTAC</v>
      </c>
      <c r="F702" s="540">
        <f>IFERROR(AVERAGE(Rankings!$K702:$R702), "TBD")</f>
        <v>5.333333333</v>
      </c>
      <c r="G702" s="540">
        <f>IFERROR(_xlfn.STDEV.P(Rankings!$K702:$R702), "TBD")</f>
        <v>1.247219129</v>
      </c>
      <c r="H702" s="540">
        <f>IFERROR(AVERAGE(Rankings!$K702:$N702, Rankings!$P702:$R702), "TBD")</f>
        <v>5.8</v>
      </c>
      <c r="I702" s="541" t="s">
        <v>1684</v>
      </c>
      <c r="J702" s="541" t="s">
        <v>1685</v>
      </c>
      <c r="K702" s="530">
        <v>5.0</v>
      </c>
      <c r="L702" s="531">
        <v>7.0</v>
      </c>
      <c r="M702" s="531">
        <v>5.0</v>
      </c>
      <c r="N702" s="550"/>
      <c r="O702" s="531">
        <v>3.0</v>
      </c>
      <c r="P702" s="531">
        <v>6.0</v>
      </c>
      <c r="Q702" s="447">
        <v>6.0</v>
      </c>
      <c r="R702" s="532"/>
      <c r="S702" s="533">
        <f>IF(ISTEXT($V702), "TBD", RANK(V702,$V698:$V704))</f>
        <v>6</v>
      </c>
      <c r="T702" s="534">
        <v>1.0</v>
      </c>
      <c r="U702" s="535" t="b">
        <f>Rankings!$S702=Rankings!$T702</f>
        <v>0</v>
      </c>
      <c r="V702" s="527">
        <f>IF(ISTEXT(Rankings!F702), "TBD", (RANK($F702,$F698:$F704) + IF(ISTEXT($H702), 0, (RANK($H702,$H698:$H704)/10)) + (RANK($G702,$G698:$G704)/100)))</f>
        <v>2.27</v>
      </c>
      <c r="W702" s="153"/>
    </row>
    <row r="703" ht="15.75" customHeight="1">
      <c r="A703" s="134"/>
      <c r="B703" s="134"/>
      <c r="C703" s="134"/>
      <c r="D703" s="415">
        <f t="shared" si="102"/>
        <v>46143</v>
      </c>
      <c r="E703" s="472" t="str">
        <f>$P$1</f>
        <v>Weston</v>
      </c>
      <c r="F703" s="542">
        <f>IFERROR(AVERAGE(Rankings!$K703:$R703), "TBD")</f>
        <v>3</v>
      </c>
      <c r="G703" s="542">
        <f>IFERROR(_xlfn.STDEV.P(Rankings!$K703:$R703), "TBD")</f>
        <v>1.825741858</v>
      </c>
      <c r="H703" s="542">
        <f>IFERROR(AVERAGE(Rankings!$K703:$O703, Rankings!$Q703:$R703), "TBD")</f>
        <v>3.4</v>
      </c>
      <c r="I703" s="543" t="s">
        <v>1686</v>
      </c>
      <c r="J703" s="543" t="s">
        <v>1687</v>
      </c>
      <c r="K703" s="530">
        <v>4.0</v>
      </c>
      <c r="L703" s="531">
        <v>6.0</v>
      </c>
      <c r="M703" s="531">
        <v>4.0</v>
      </c>
      <c r="N703" s="550"/>
      <c r="O703" s="531">
        <v>1.0</v>
      </c>
      <c r="P703" s="531">
        <v>1.0</v>
      </c>
      <c r="Q703" s="447">
        <v>2.0</v>
      </c>
      <c r="R703" s="532"/>
      <c r="S703" s="533">
        <f>IF(ISTEXT($V703), "TBD", RANK(V703,$V698:$V704))</f>
        <v>2</v>
      </c>
      <c r="T703" s="534">
        <v>1.0</v>
      </c>
      <c r="U703" s="535" t="b">
        <f>Rankings!$S703=Rankings!$T703</f>
        <v>0</v>
      </c>
      <c r="V703" s="527">
        <f>IF(ISTEXT(Rankings!F703), "TBD", (RANK($F703,$F698:$F704) + IF(ISTEXT($H703), 0, (RANK($H703,$H698:$H704)/10)) + (RANK($G703,$G698:$G704)/100)))</f>
        <v>6.63</v>
      </c>
      <c r="W703" s="153"/>
    </row>
    <row r="704" ht="15.75" customHeight="1">
      <c r="A704" s="189"/>
      <c r="B704" s="189"/>
      <c r="C704" s="189"/>
      <c r="D704" s="473">
        <f t="shared" si="102"/>
        <v>46143</v>
      </c>
      <c r="E704" s="131" t="str">
        <f>$Q$1</f>
        <v>Flocco</v>
      </c>
      <c r="F704" s="544">
        <f>IFERROR(AVERAGE(Rankings!$K704:$R704), "TBD")</f>
        <v>2.833333333</v>
      </c>
      <c r="G704" s="544">
        <f>IFERROR(_xlfn.STDEV.P(Rankings!$K704:$R704), "TBD")</f>
        <v>1.67497927</v>
      </c>
      <c r="H704" s="544">
        <f>IFERROR(AVERAGE(Rankings!$K704:$P704, Rankings!$R704), "TBD")</f>
        <v>3.2</v>
      </c>
      <c r="I704" s="545" t="s">
        <v>133</v>
      </c>
      <c r="J704" s="545" t="s">
        <v>1688</v>
      </c>
      <c r="K704" s="530">
        <v>2.0</v>
      </c>
      <c r="L704" s="531">
        <v>2.0</v>
      </c>
      <c r="M704" s="531">
        <v>6.0</v>
      </c>
      <c r="N704" s="550"/>
      <c r="O704" s="531">
        <v>4.0</v>
      </c>
      <c r="P704" s="531">
        <v>2.0</v>
      </c>
      <c r="Q704" s="447">
        <v>1.0</v>
      </c>
      <c r="R704" s="532"/>
      <c r="S704" s="533">
        <f>IF(ISTEXT($V704), "TBD", RANK(V704,$V698:$V704))</f>
        <v>1</v>
      </c>
      <c r="T704" s="534">
        <v>1.0</v>
      </c>
      <c r="U704" s="535" t="b">
        <f>Rankings!$S704=Rankings!$T704</f>
        <v>1</v>
      </c>
      <c r="V704" s="527">
        <f>IF(ISTEXT(Rankings!F704), "TBD", (RANK($F704,$F698:$F704) + IF(ISTEXT($H704), 0, (RANK($H704,$H698:$H704)/10)) + (RANK($G704,$G698:$G704)/100)))</f>
        <v>7.74</v>
      </c>
      <c r="W704" s="208"/>
    </row>
    <row r="705" ht="15.75" customHeight="1">
      <c r="A705" s="103">
        <v>46146.0</v>
      </c>
      <c r="B705" s="453"/>
      <c r="C705" s="454" t="str">
        <f t="array" ref="C705">INDEX(Rankings!$E705:$E711, MATCH(1, (Rankings!$D705:$D711=$A705)*(Rankings!$U705:$U711=TRUE()), 0))</f>
        <v>Weston</v>
      </c>
      <c r="D705" s="551">
        <f>A705</f>
        <v>46146</v>
      </c>
      <c r="E705" s="455" t="str">
        <f>$K$1</f>
        <v>Logan</v>
      </c>
      <c r="F705" s="400">
        <f>IFERROR(AVERAGE(Rankings!$K705:$R705), "TBD")</f>
        <v>3.4</v>
      </c>
      <c r="G705" s="400">
        <f>IFERROR(_xlfn.STDEV.P(Rankings!$K705:$R705), "TBD")</f>
        <v>1.624807681</v>
      </c>
      <c r="H705" s="400">
        <f>IFERROR(AVERAGE(Rankings!$L705:$R705), "TBD")</f>
        <v>3.75</v>
      </c>
      <c r="I705" s="421" t="s">
        <v>1689</v>
      </c>
      <c r="J705" s="421" t="s">
        <v>1690</v>
      </c>
      <c r="K705" s="422">
        <v>2.0</v>
      </c>
      <c r="L705" s="423">
        <v>4.0</v>
      </c>
      <c r="M705" s="423">
        <v>5.0</v>
      </c>
      <c r="N705" s="552"/>
      <c r="O705" s="423">
        <v>5.0</v>
      </c>
      <c r="P705" s="423">
        <v>1.0</v>
      </c>
      <c r="Q705" s="552"/>
      <c r="R705" s="457"/>
      <c r="S705" s="458">
        <f>IF(ISTEXT($V705), "TBD", RANK(V705,$V705:$V711))</f>
        <v>4</v>
      </c>
      <c r="T705" s="459">
        <v>1.0</v>
      </c>
      <c r="U705" s="460" t="b">
        <f>Rankings!$S705=Rankings!$T705</f>
        <v>0</v>
      </c>
      <c r="V705" s="553">
        <f>IF(ISTEXT(Rankings!F705), "TBD", (RANK($F705,$F705:$F711) + IF(ISTEXT($H705), 0, (RANK($H705,$H705:$H711)/10)) + (RANK($G705,$G705:$G711)/100)))</f>
        <v>2.21</v>
      </c>
      <c r="W705" s="476" t="s">
        <v>1691</v>
      </c>
    </row>
    <row r="706" ht="15.75" customHeight="1">
      <c r="A706" s="134"/>
      <c r="B706" s="134"/>
      <c r="C706" s="134"/>
      <c r="D706" s="554">
        <f>D705</f>
        <v>46146</v>
      </c>
      <c r="E706" s="463" t="str">
        <f>$L$1</f>
        <v>Parker</v>
      </c>
      <c r="F706" s="404">
        <f>IFERROR(AVERAGE(Rankings!$K706:$R706), "TBD")</f>
        <v>2.8</v>
      </c>
      <c r="G706" s="404">
        <f>IFERROR(_xlfn.STDEV.P(Rankings!$K706:$R706), "TBD")</f>
        <v>0.4</v>
      </c>
      <c r="H706" s="404">
        <f>IFERROR(AVERAGE(Rankings!$K706, Rankings!$M706:$R706), "TBD")</f>
        <v>3</v>
      </c>
      <c r="I706" s="429" t="s">
        <v>1692</v>
      </c>
      <c r="J706" s="429" t="s">
        <v>1693</v>
      </c>
      <c r="K706" s="430">
        <v>3.0</v>
      </c>
      <c r="L706" s="431">
        <v>2.0</v>
      </c>
      <c r="M706" s="431">
        <v>3.0</v>
      </c>
      <c r="N706" s="555"/>
      <c r="O706" s="431">
        <v>3.0</v>
      </c>
      <c r="P706" s="431">
        <v>3.0</v>
      </c>
      <c r="Q706" s="555"/>
      <c r="R706" s="465"/>
      <c r="S706" s="466">
        <f>IF(ISTEXT($V706), "TBD", RANK(V706,$V705:$V711))</f>
        <v>3</v>
      </c>
      <c r="T706" s="467">
        <v>1.0</v>
      </c>
      <c r="U706" s="468" t="b">
        <f>Rankings!$S706=Rankings!$T706</f>
        <v>0</v>
      </c>
      <c r="V706" s="553">
        <f>IF(ISTEXT(Rankings!F706), "TBD", (RANK($F706,$F705:$F711) + IF(ISTEXT($H706), 0, (RANK($H706,$H705:$H711)/10)) + (RANK($G706,$G705:$G711)/100)))</f>
        <v>3.35</v>
      </c>
      <c r="W706" s="153"/>
    </row>
    <row r="707" ht="15.75" customHeight="1">
      <c r="A707" s="134"/>
      <c r="B707" s="134"/>
      <c r="C707" s="134"/>
      <c r="D707" s="556">
        <f>D705</f>
        <v>46146</v>
      </c>
      <c r="E707" s="469" t="str">
        <f>$M$1</f>
        <v>Giacomo</v>
      </c>
      <c r="F707" s="408">
        <f>IFERROR(AVERAGE(Rankings!$K707:$R707), "TBD")</f>
        <v>2.2</v>
      </c>
      <c r="G707" s="408">
        <f>IFERROR(_xlfn.STDEV.P(Rankings!$K707:$R707), "TBD")</f>
        <v>1.469693846</v>
      </c>
      <c r="H707" s="408">
        <f>IFERROR(AVERAGE(Rankings!$K707:$L707, Rankings!$N707:$R707), "TBD")</f>
        <v>2.5</v>
      </c>
      <c r="I707" s="437" t="s">
        <v>1694</v>
      </c>
      <c r="J707" s="437" t="s">
        <v>1695</v>
      </c>
      <c r="K707" s="430">
        <v>4.0</v>
      </c>
      <c r="L707" s="431">
        <v>1.0</v>
      </c>
      <c r="M707" s="431">
        <v>1.0</v>
      </c>
      <c r="N707" s="555"/>
      <c r="O707" s="431">
        <v>1.0</v>
      </c>
      <c r="P707" s="431">
        <v>4.0</v>
      </c>
      <c r="Q707" s="555"/>
      <c r="R707" s="465"/>
      <c r="S707" s="466">
        <f>IF(ISTEXT($V707), "TBD", RANK(V707,$V705:$V711))</f>
        <v>2</v>
      </c>
      <c r="T707" s="467">
        <v>1.0</v>
      </c>
      <c r="U707" s="468" t="b">
        <f>Rankings!$S707=Rankings!$T707</f>
        <v>0</v>
      </c>
      <c r="V707" s="553">
        <f>IF(ISTEXT(Rankings!F707), "TBD", (RANK($F707,$F705:$F711) + IF(ISTEXT($H707), 0, (RANK($H707,$H705:$H711)/10)) + (RANK($G707,$G705:$G711)/100)))</f>
        <v>4.42</v>
      </c>
      <c r="W707" s="153"/>
    </row>
    <row r="708" ht="15.75" customHeight="1">
      <c r="A708" s="134"/>
      <c r="B708" s="134"/>
      <c r="C708" s="134"/>
      <c r="D708" s="557">
        <f>D705</f>
        <v>46146</v>
      </c>
      <c r="E708" s="470" t="str">
        <f>$N$1</f>
        <v>Rosey</v>
      </c>
      <c r="F708" s="411" t="str">
        <f>IFERROR(AVERAGE(Rankings!$K708:$R708), "TBD")</f>
        <v>TBD</v>
      </c>
      <c r="G708" s="411" t="str">
        <f>IFERROR(_xlfn.STDEV.P(Rankings!$K708:$R708), "TBD")</f>
        <v>TBD</v>
      </c>
      <c r="H708" s="411" t="str">
        <f>IFERROR(AVERAGE(Rankings!$K708:$M708, Rankings!$O708:$R708), "TBD")</f>
        <v>TBD</v>
      </c>
      <c r="I708" s="558"/>
      <c r="J708" s="558"/>
      <c r="K708" s="559"/>
      <c r="L708" s="560"/>
      <c r="M708" s="464" t="s">
        <v>1696</v>
      </c>
      <c r="N708" s="555"/>
      <c r="O708" s="464" t="s">
        <v>1697</v>
      </c>
      <c r="P708" s="464" t="s">
        <v>1698</v>
      </c>
      <c r="Q708" s="555"/>
      <c r="R708" s="465"/>
      <c r="S708" s="466" t="str">
        <f>IF(ISTEXT($V708), "TBD", RANK(V708,$V705:$V711))</f>
        <v>TBD</v>
      </c>
      <c r="T708" s="467">
        <v>1.0</v>
      </c>
      <c r="U708" s="468" t="b">
        <f>Rankings!$S708=Rankings!$T708</f>
        <v>0</v>
      </c>
      <c r="V708" s="553" t="str">
        <f>IF(ISTEXT(Rankings!F708), "TBD", (RANK($F708,$F705:$F711) + IF(ISTEXT($H708), 0, (RANK($H708,$H705:$H711)/10)) + (RANK($G708,$G705:$G711)/100)))</f>
        <v>TBD</v>
      </c>
      <c r="W708" s="153"/>
    </row>
    <row r="709" ht="15.75" customHeight="1">
      <c r="A709" s="134"/>
      <c r="B709" s="134"/>
      <c r="C709" s="134"/>
      <c r="D709" s="561">
        <f t="shared" ref="D709:D711" si="103">D705</f>
        <v>46146</v>
      </c>
      <c r="E709" s="471" t="str">
        <f>$O$1</f>
        <v>TTAC</v>
      </c>
      <c r="F709" s="414">
        <f>IFERROR(AVERAGE(Rankings!$K709:$R709), "TBD")</f>
        <v>4.6</v>
      </c>
      <c r="G709" s="414">
        <f>IFERROR(_xlfn.STDEV.P(Rankings!$K709:$R709), "TBD")</f>
        <v>0.4898979486</v>
      </c>
      <c r="H709" s="414">
        <f>IFERROR(AVERAGE(Rankings!$K709:$N709, Rankings!$P709:$R709), "TBD")</f>
        <v>4.75</v>
      </c>
      <c r="I709" s="439" t="s">
        <v>1699</v>
      </c>
      <c r="J709" s="439" t="s">
        <v>1700</v>
      </c>
      <c r="K709" s="430">
        <v>5.0</v>
      </c>
      <c r="L709" s="431">
        <v>5.0</v>
      </c>
      <c r="M709" s="431">
        <v>4.0</v>
      </c>
      <c r="N709" s="555"/>
      <c r="O709" s="431">
        <v>4.0</v>
      </c>
      <c r="P709" s="431">
        <v>5.0</v>
      </c>
      <c r="Q709" s="555"/>
      <c r="R709" s="465"/>
      <c r="S709" s="466">
        <f>IF(ISTEXT($V709), "TBD", RANK(V709,$V705:$V711))</f>
        <v>5</v>
      </c>
      <c r="T709" s="467">
        <v>1.0</v>
      </c>
      <c r="U709" s="468" t="b">
        <f>Rankings!$S709=Rankings!$T709</f>
        <v>0</v>
      </c>
      <c r="V709" s="553">
        <f>IF(ISTEXT(Rankings!F709), "TBD", (RANK($F709,$F705:$F711) + IF(ISTEXT($H709), 0, (RANK($H709,$H705:$H711)/10)) + (RANK($G709,$G705:$G711)/100)))</f>
        <v>1.14</v>
      </c>
      <c r="W709" s="153"/>
    </row>
    <row r="710" ht="15.75" customHeight="1">
      <c r="A710" s="134"/>
      <c r="B710" s="134"/>
      <c r="C710" s="134"/>
      <c r="D710" s="562">
        <f t="shared" si="103"/>
        <v>46146</v>
      </c>
      <c r="E710" s="472" t="str">
        <f>$P$1</f>
        <v>Weston</v>
      </c>
      <c r="F710" s="418">
        <f>IFERROR(AVERAGE(Rankings!$K710:$R710), "TBD")</f>
        <v>2</v>
      </c>
      <c r="G710" s="418">
        <f>IFERROR(_xlfn.STDEV.P(Rankings!$K710:$R710), "TBD")</f>
        <v>0.632455532</v>
      </c>
      <c r="H710" s="418">
        <f>IFERROR(AVERAGE(Rankings!$K710:$O710, Rankings!$Q710:$R710), "TBD")</f>
        <v>2</v>
      </c>
      <c r="I710" s="440" t="s">
        <v>1701</v>
      </c>
      <c r="J710" s="440" t="s">
        <v>1702</v>
      </c>
      <c r="K710" s="430">
        <v>1.0</v>
      </c>
      <c r="L710" s="431">
        <v>3.0</v>
      </c>
      <c r="M710" s="431">
        <v>2.0</v>
      </c>
      <c r="N710" s="555"/>
      <c r="O710" s="431">
        <v>2.0</v>
      </c>
      <c r="P710" s="431">
        <v>2.0</v>
      </c>
      <c r="Q710" s="555"/>
      <c r="R710" s="465"/>
      <c r="S710" s="466">
        <f>IF(ISTEXT($V710), "TBD", RANK(V710,$V705:$V711))</f>
        <v>1</v>
      </c>
      <c r="T710" s="467">
        <v>1.0</v>
      </c>
      <c r="U710" s="468" t="b">
        <f>Rankings!$S710=Rankings!$T710</f>
        <v>1</v>
      </c>
      <c r="V710" s="553">
        <f>IF(ISTEXT(Rankings!F710), "TBD", (RANK($F710,$F705:$F711) + IF(ISTEXT($H710), 0, (RANK($H710,$H705:$H711)/10)) + (RANK($G710,$G705:$G711)/100)))</f>
        <v>5.53</v>
      </c>
      <c r="W710" s="153"/>
    </row>
    <row r="711" ht="15.75" customHeight="1">
      <c r="A711" s="189"/>
      <c r="B711" s="189"/>
      <c r="C711" s="189"/>
      <c r="D711" s="563">
        <f t="shared" si="103"/>
        <v>46146</v>
      </c>
      <c r="E711" s="131" t="str">
        <f>$Q$1</f>
        <v>Flocco</v>
      </c>
      <c r="F711" s="474" t="str">
        <f>IFERROR(AVERAGE(Rankings!$K711:$R711), "TBD")</f>
        <v>TBD</v>
      </c>
      <c r="G711" s="474" t="str">
        <f>IFERROR(_xlfn.STDEV.P(Rankings!$K711:$R711), "TBD")</f>
        <v>TBD</v>
      </c>
      <c r="H711" s="474" t="str">
        <f>IFERROR(AVERAGE(Rankings!$K711:$P711, Rankings!$R711), "TBD")</f>
        <v>TBD</v>
      </c>
      <c r="I711" s="564" t="s">
        <v>141</v>
      </c>
      <c r="J711" s="564" t="s">
        <v>141</v>
      </c>
      <c r="K711" s="565"/>
      <c r="L711" s="566"/>
      <c r="M711" s="431" t="s">
        <v>1703</v>
      </c>
      <c r="N711" s="555"/>
      <c r="O711" s="431" t="s">
        <v>1704</v>
      </c>
      <c r="P711" s="431" t="s">
        <v>1698</v>
      </c>
      <c r="Q711" s="555"/>
      <c r="R711" s="465"/>
      <c r="S711" s="466" t="str">
        <f>IF(ISTEXT($V711), "TBD", RANK(V711,$V705:$V711))</f>
        <v>TBD</v>
      </c>
      <c r="T711" s="467">
        <v>1.0</v>
      </c>
      <c r="U711" s="468" t="b">
        <f>Rankings!$S711=Rankings!$T711</f>
        <v>0</v>
      </c>
      <c r="V711" s="553" t="str">
        <f>IF(ISTEXT(Rankings!F711), "TBD", (RANK($F711,$F705:$F711) + IF(ISTEXT($H711), 0, (RANK($H711,$H705:$H711)/10)) + (RANK($G711,$G705:$G711)/100)))</f>
        <v>TBD</v>
      </c>
      <c r="W711" s="208"/>
    </row>
    <row r="712" ht="15.75" customHeight="1">
      <c r="A712" s="103">
        <v>46148.0</v>
      </c>
      <c r="B712" s="453"/>
      <c r="C712" s="454" t="str">
        <f t="array" ref="C712">INDEX(Rankings!$E712:$E718, MATCH(1, (Rankings!$D712:$D718=$A712)*(Rankings!$U712:$U718=TRUE()), 0))</f>
        <v>Parker</v>
      </c>
      <c r="D712" s="551">
        <f>A712</f>
        <v>46148</v>
      </c>
      <c r="E712" s="455" t="str">
        <f>$K$1</f>
        <v>Logan</v>
      </c>
      <c r="F712" s="400">
        <f>IFERROR(AVERAGE(Rankings!$K712:$R712), "TBD")</f>
        <v>4.2</v>
      </c>
      <c r="G712" s="400">
        <f>IFERROR(_xlfn.STDEV.P(Rankings!$K712:$R712), "TBD")</f>
        <v>1.166190379</v>
      </c>
      <c r="H712" s="400">
        <f>IFERROR(AVERAGE(Rankings!$L712:$R712), "TBD")</f>
        <v>4.75</v>
      </c>
      <c r="I712" s="421" t="s">
        <v>1705</v>
      </c>
      <c r="J712" s="421" t="s">
        <v>1706</v>
      </c>
      <c r="K712" s="422">
        <v>2.0</v>
      </c>
      <c r="L712" s="423">
        <v>5.0</v>
      </c>
      <c r="M712" s="423">
        <v>5.0</v>
      </c>
      <c r="N712" s="552"/>
      <c r="O712" s="423">
        <v>5.0</v>
      </c>
      <c r="P712" s="423">
        <v>4.0</v>
      </c>
      <c r="Q712" s="552"/>
      <c r="R712" s="457"/>
      <c r="S712" s="458">
        <f>IF(ISTEXT($V712), "TBD", RANK(V712,$V712:$V718))</f>
        <v>5</v>
      </c>
      <c r="T712" s="459">
        <v>1.0</v>
      </c>
      <c r="U712" s="460" t="b">
        <f>Rankings!$S712=Rankings!$T712</f>
        <v>0</v>
      </c>
      <c r="V712" s="553">
        <f>IF(ISTEXT(Rankings!F712), "TBD", (RANK($F712,$F712:$F718) + IF(ISTEXT($H712), 0, (RANK($H712,$H712:$H718)/10)) + (RANK($G712,$G712:$G718)/100)))</f>
        <v>1.12</v>
      </c>
      <c r="W712" s="567"/>
    </row>
    <row r="713" ht="15.75" customHeight="1">
      <c r="A713" s="134"/>
      <c r="B713" s="134"/>
      <c r="C713" s="134"/>
      <c r="D713" s="554">
        <f>D712</f>
        <v>46148</v>
      </c>
      <c r="E713" s="463" t="str">
        <f>$L$1</f>
        <v>Parker</v>
      </c>
      <c r="F713" s="404">
        <f>IFERROR(AVERAGE(Rankings!$K713:$R713), "TBD")</f>
        <v>1.6</v>
      </c>
      <c r="G713" s="404">
        <f>IFERROR(_xlfn.STDEV.P(Rankings!$K713:$R713), "TBD")</f>
        <v>0.8</v>
      </c>
      <c r="H713" s="404">
        <f>IFERROR(AVERAGE(Rankings!$K713, Rankings!$M713:$R713), "TBD")</f>
        <v>1.75</v>
      </c>
      <c r="I713" s="429" t="s">
        <v>1707</v>
      </c>
      <c r="J713" s="429" t="s">
        <v>1708</v>
      </c>
      <c r="K713" s="430">
        <v>3.0</v>
      </c>
      <c r="L713" s="431">
        <v>1.0</v>
      </c>
      <c r="M713" s="431">
        <v>2.0</v>
      </c>
      <c r="N713" s="555"/>
      <c r="O713" s="431">
        <v>1.0</v>
      </c>
      <c r="P713" s="431">
        <v>1.0</v>
      </c>
      <c r="Q713" s="555"/>
      <c r="R713" s="465"/>
      <c r="S713" s="466">
        <f>IF(ISTEXT($V713), "TBD", RANK(V713,$V712:$V718))</f>
        <v>1</v>
      </c>
      <c r="T713" s="467">
        <v>1.0</v>
      </c>
      <c r="U713" s="468" t="b">
        <f>Rankings!$S713=Rankings!$T713</f>
        <v>1</v>
      </c>
      <c r="V713" s="553">
        <f>IF(ISTEXT(Rankings!F713), "TBD", (RANK($F713,$F712:$F718) + IF(ISTEXT($H713), 0, (RANK($H713,$H712:$H718)/10)) + (RANK($G713,$G712:$G718)/100)))</f>
        <v>5.55</v>
      </c>
      <c r="W713" s="153"/>
    </row>
    <row r="714" ht="15.75" customHeight="1">
      <c r="A714" s="134"/>
      <c r="B714" s="134"/>
      <c r="C714" s="134"/>
      <c r="D714" s="556">
        <f>D712</f>
        <v>46148</v>
      </c>
      <c r="E714" s="469" t="str">
        <f>$M$1</f>
        <v>Giacomo</v>
      </c>
      <c r="F714" s="408">
        <f>IFERROR(AVERAGE(Rankings!$K714:$R714), "TBD")</f>
        <v>3.2</v>
      </c>
      <c r="G714" s="408">
        <f>IFERROR(_xlfn.STDEV.P(Rankings!$K714:$R714), "TBD")</f>
        <v>1.326649916</v>
      </c>
      <c r="H714" s="408">
        <f>IFERROR(AVERAGE(Rankings!$K714:$L714, Rankings!$N714:$R714), "TBD")</f>
        <v>3.75</v>
      </c>
      <c r="I714" s="437" t="s">
        <v>1709</v>
      </c>
      <c r="J714" s="437" t="s">
        <v>1710</v>
      </c>
      <c r="K714" s="430">
        <v>5.0</v>
      </c>
      <c r="L714" s="431">
        <v>3.0</v>
      </c>
      <c r="M714" s="431">
        <v>1.0</v>
      </c>
      <c r="N714" s="555"/>
      <c r="O714" s="431">
        <v>4.0</v>
      </c>
      <c r="P714" s="431">
        <v>3.0</v>
      </c>
      <c r="Q714" s="555"/>
      <c r="R714" s="465"/>
      <c r="S714" s="466">
        <f>IF(ISTEXT($V714), "TBD", RANK(V714,$V712:$V718))</f>
        <v>3</v>
      </c>
      <c r="T714" s="467">
        <v>1.0</v>
      </c>
      <c r="U714" s="468" t="b">
        <f>Rankings!$S714=Rankings!$T714</f>
        <v>0</v>
      </c>
      <c r="V714" s="553">
        <f>IF(ISTEXT(Rankings!F714), "TBD", (RANK($F714,$F712:$F718) + IF(ISTEXT($H714), 0, (RANK($H714,$H712:$H718)/10)) + (RANK($G714,$G712:$G718)/100)))</f>
        <v>3.21</v>
      </c>
      <c r="W714" s="153"/>
    </row>
    <row r="715" ht="15.75" customHeight="1">
      <c r="A715" s="134"/>
      <c r="B715" s="134"/>
      <c r="C715" s="134"/>
      <c r="D715" s="557">
        <f>D712</f>
        <v>46148</v>
      </c>
      <c r="E715" s="470" t="str">
        <f>$N$1</f>
        <v>Rosey</v>
      </c>
      <c r="F715" s="411" t="str">
        <f>IFERROR(AVERAGE(Rankings!$K715:$R715), "TBD")</f>
        <v>TBD</v>
      </c>
      <c r="G715" s="411" t="str">
        <f>IFERROR(_xlfn.STDEV.P(Rankings!$K715:$R715), "TBD")</f>
        <v>TBD</v>
      </c>
      <c r="H715" s="411" t="str">
        <f>IFERROR(AVERAGE(Rankings!$K715:$M715, Rankings!$O715:$R715), "TBD")</f>
        <v>TBD</v>
      </c>
      <c r="I715" s="558"/>
      <c r="J715" s="558"/>
      <c r="K715" s="559"/>
      <c r="L715" s="560"/>
      <c r="M715" s="464" t="s">
        <v>1711</v>
      </c>
      <c r="N715" s="555"/>
      <c r="O715" s="464" t="s">
        <v>1697</v>
      </c>
      <c r="P715" s="464" t="s">
        <v>1698</v>
      </c>
      <c r="Q715" s="555"/>
      <c r="R715" s="465"/>
      <c r="S715" s="466" t="str">
        <f>IF(ISTEXT($V715), "TBD", RANK(V715,$V712:$V718))</f>
        <v>TBD</v>
      </c>
      <c r="T715" s="467">
        <v>1.0</v>
      </c>
      <c r="U715" s="468" t="b">
        <f>Rankings!$S715=Rankings!$T715</f>
        <v>0</v>
      </c>
      <c r="V715" s="553" t="str">
        <f>IF(ISTEXT(Rankings!F715), "TBD", (RANK($F715,$F712:$F718) + IF(ISTEXT($H715), 0, (RANK($H715,$H712:$H718)/10)) + (RANK($G715,$G712:$G718)/100)))</f>
        <v>TBD</v>
      </c>
      <c r="W715" s="153"/>
    </row>
    <row r="716" ht="15.75" customHeight="1">
      <c r="A716" s="134"/>
      <c r="B716" s="134"/>
      <c r="C716" s="134"/>
      <c r="D716" s="561">
        <f t="shared" ref="D716:D718" si="104">D712</f>
        <v>46148</v>
      </c>
      <c r="E716" s="471" t="str">
        <f>$O$1</f>
        <v>TTAC</v>
      </c>
      <c r="F716" s="414">
        <f>IFERROR(AVERAGE(Rankings!$K716:$R716), "TBD")</f>
        <v>3.6</v>
      </c>
      <c r="G716" s="414">
        <f>IFERROR(_xlfn.STDEV.P(Rankings!$K716:$R716), "TBD")</f>
        <v>1.019803903</v>
      </c>
      <c r="H716" s="414">
        <f>IFERROR(AVERAGE(Rankings!$K716:$N716, Rankings!$P716:$R716), "TBD")</f>
        <v>3.75</v>
      </c>
      <c r="I716" s="439" t="s">
        <v>1712</v>
      </c>
      <c r="J716" s="439" t="s">
        <v>1713</v>
      </c>
      <c r="K716" s="430">
        <v>4.0</v>
      </c>
      <c r="L716" s="431">
        <v>2.0</v>
      </c>
      <c r="M716" s="431">
        <v>4.0</v>
      </c>
      <c r="N716" s="555"/>
      <c r="O716" s="431">
        <v>3.0</v>
      </c>
      <c r="P716" s="431">
        <v>5.0</v>
      </c>
      <c r="Q716" s="555"/>
      <c r="R716" s="465"/>
      <c r="S716" s="466">
        <f>IF(ISTEXT($V716), "TBD", RANK(V716,$V712:$V718))</f>
        <v>4</v>
      </c>
      <c r="T716" s="467">
        <v>1.0</v>
      </c>
      <c r="U716" s="468" t="b">
        <f>Rankings!$S716=Rankings!$T716</f>
        <v>0</v>
      </c>
      <c r="V716" s="553">
        <f>IF(ISTEXT(Rankings!F716), "TBD", (RANK($F716,$F712:$F718) + IF(ISTEXT($H716), 0, (RANK($H716,$H712:$H718)/10)) + (RANK($G716,$G712:$G718)/100)))</f>
        <v>2.24</v>
      </c>
      <c r="W716" s="153"/>
    </row>
    <row r="717" ht="15.75" customHeight="1">
      <c r="A717" s="134"/>
      <c r="B717" s="134"/>
      <c r="C717" s="134"/>
      <c r="D717" s="562">
        <f t="shared" si="104"/>
        <v>46148</v>
      </c>
      <c r="E717" s="472" t="str">
        <f>$P$1</f>
        <v>Weston</v>
      </c>
      <c r="F717" s="418">
        <f>IFERROR(AVERAGE(Rankings!$K717:$R717), "TBD")</f>
        <v>2.4</v>
      </c>
      <c r="G717" s="418">
        <f>IFERROR(_xlfn.STDEV.P(Rankings!$K717:$R717), "TBD")</f>
        <v>1.019803903</v>
      </c>
      <c r="H717" s="418">
        <f>IFERROR(AVERAGE(Rankings!$K717:$O717, Rankings!$Q717:$R717), "TBD")</f>
        <v>2.5</v>
      </c>
      <c r="I717" s="440" t="s">
        <v>1714</v>
      </c>
      <c r="J717" s="440" t="s">
        <v>1715</v>
      </c>
      <c r="K717" s="430">
        <v>1.0</v>
      </c>
      <c r="L717" s="431">
        <v>4.0</v>
      </c>
      <c r="M717" s="431">
        <v>3.0</v>
      </c>
      <c r="N717" s="555"/>
      <c r="O717" s="431">
        <v>2.0</v>
      </c>
      <c r="P717" s="431">
        <v>2.0</v>
      </c>
      <c r="Q717" s="555"/>
      <c r="R717" s="465"/>
      <c r="S717" s="466">
        <f>IF(ISTEXT($V717), "TBD", RANK(V717,$V712:$V718))</f>
        <v>2</v>
      </c>
      <c r="T717" s="467">
        <v>1.0</v>
      </c>
      <c r="U717" s="468" t="b">
        <f>Rankings!$S717=Rankings!$T717</f>
        <v>0</v>
      </c>
      <c r="V717" s="553">
        <f>IF(ISTEXT(Rankings!F717), "TBD", (RANK($F717,$F712:$F718) + IF(ISTEXT($H717), 0, (RANK($H717,$H712:$H718)/10)) + (RANK($G717,$G712:$G718)/100)))</f>
        <v>4.43</v>
      </c>
      <c r="W717" s="153"/>
    </row>
    <row r="718" ht="15.75" customHeight="1">
      <c r="A718" s="189"/>
      <c r="B718" s="189"/>
      <c r="C718" s="189"/>
      <c r="D718" s="563">
        <f t="shared" si="104"/>
        <v>46148</v>
      </c>
      <c r="E718" s="131" t="str">
        <f>$Q$1</f>
        <v>Flocco</v>
      </c>
      <c r="F718" s="474" t="str">
        <f>IFERROR(AVERAGE(Rankings!$K718:$R718), "TBD")</f>
        <v>TBD</v>
      </c>
      <c r="G718" s="474" t="str">
        <f>IFERROR(_xlfn.STDEV.P(Rankings!$K718:$R718), "TBD")</f>
        <v>TBD</v>
      </c>
      <c r="H718" s="474" t="str">
        <f>IFERROR(AVERAGE(Rankings!$K718:$P718, Rankings!$R718), "TBD")</f>
        <v>TBD</v>
      </c>
      <c r="I718" s="564" t="s">
        <v>141</v>
      </c>
      <c r="J718" s="564" t="s">
        <v>141</v>
      </c>
      <c r="K718" s="565"/>
      <c r="L718" s="566"/>
      <c r="M718" s="431" t="s">
        <v>1716</v>
      </c>
      <c r="N718" s="555"/>
      <c r="O718" s="431" t="s">
        <v>1704</v>
      </c>
      <c r="P718" s="431" t="s">
        <v>1698</v>
      </c>
      <c r="Q718" s="555"/>
      <c r="R718" s="465"/>
      <c r="S718" s="466" t="str">
        <f>IF(ISTEXT($V718), "TBD", RANK(V718,$V712:$V718))</f>
        <v>TBD</v>
      </c>
      <c r="T718" s="467">
        <v>1.0</v>
      </c>
      <c r="U718" s="468" t="b">
        <f>Rankings!$S718=Rankings!$T718</f>
        <v>0</v>
      </c>
      <c r="V718" s="553" t="str">
        <f>IF(ISTEXT(Rankings!F718), "TBD", (RANK($F718,$F712:$F718) + IF(ISTEXT($H718), 0, (RANK($H718,$H712:$H718)/10)) + (RANK($G718,$G712:$G718)/100)))</f>
        <v>TBD</v>
      </c>
      <c r="W718" s="208"/>
    </row>
    <row r="719" ht="15.75" customHeight="1">
      <c r="A719" s="103">
        <v>46150.0</v>
      </c>
      <c r="B719" s="453"/>
      <c r="C719" s="454" t="str">
        <f t="array" ref="C719">INDEX(Rankings!$E719:$E725, MATCH(1, (Rankings!$D719:$D725=$A719)*(Rankings!$U719:$U725=TRUE()), 0))</f>
        <v>Weston</v>
      </c>
      <c r="D719" s="551">
        <f>A719</f>
        <v>46150</v>
      </c>
      <c r="E719" s="455" t="str">
        <f>$K$1</f>
        <v>Logan</v>
      </c>
      <c r="F719" s="400">
        <f>IFERROR(AVERAGE(Rankings!$K719:$R719), "TBD")</f>
        <v>2.6</v>
      </c>
      <c r="G719" s="400">
        <f>IFERROR(_xlfn.STDEV.P(Rankings!$K719:$R719), "TBD")</f>
        <v>1.019803903</v>
      </c>
      <c r="H719" s="400">
        <f>IFERROR(AVERAGE(Rankings!$L719:$R719), "TBD")</f>
        <v>3</v>
      </c>
      <c r="I719" s="421" t="s">
        <v>1717</v>
      </c>
      <c r="J719" s="421" t="s">
        <v>1718</v>
      </c>
      <c r="K719" s="422">
        <v>1.0</v>
      </c>
      <c r="L719" s="423">
        <v>2.0</v>
      </c>
      <c r="M719" s="423">
        <v>3.0</v>
      </c>
      <c r="N719" s="552"/>
      <c r="O719" s="423">
        <v>3.0</v>
      </c>
      <c r="P719" s="423">
        <v>4.0</v>
      </c>
      <c r="Q719" s="552"/>
      <c r="R719" s="457"/>
      <c r="S719" s="458">
        <f>IF(ISTEXT($V719), "TBD", RANK(V719,$V719:$V725))</f>
        <v>2</v>
      </c>
      <c r="T719" s="459">
        <v>1.0</v>
      </c>
      <c r="U719" s="460" t="b">
        <f>Rankings!$S719=Rankings!$T719</f>
        <v>0</v>
      </c>
      <c r="V719" s="553">
        <f>IF(ISTEXT(Rankings!F719), "TBD", (RANK($F719,$F719:$F725) + IF(ISTEXT($H719), 0, (RANK($H719,$H719:$H725)/10)) + (RANK($G719,$G719:$G725)/100)))</f>
        <v>4.43</v>
      </c>
      <c r="W719" s="567"/>
    </row>
    <row r="720" ht="15.75" customHeight="1">
      <c r="A720" s="134"/>
      <c r="B720" s="134"/>
      <c r="C720" s="134"/>
      <c r="D720" s="554">
        <f>D719</f>
        <v>46150</v>
      </c>
      <c r="E720" s="463" t="str">
        <f>$L$1</f>
        <v>Parker</v>
      </c>
      <c r="F720" s="404">
        <f>IFERROR(AVERAGE(Rankings!$K720:$R720), "TBD")</f>
        <v>3.6</v>
      </c>
      <c r="G720" s="404">
        <f>IFERROR(_xlfn.STDEV.P(Rankings!$K720:$R720), "TBD")</f>
        <v>0.8</v>
      </c>
      <c r="H720" s="404">
        <f>IFERROR(AVERAGE(Rankings!$K720, Rankings!$M720:$R720), "TBD")</f>
        <v>3.75</v>
      </c>
      <c r="I720" s="429" t="s">
        <v>1719</v>
      </c>
      <c r="J720" s="429" t="s">
        <v>1720</v>
      </c>
      <c r="K720" s="430">
        <v>3.0</v>
      </c>
      <c r="L720" s="431">
        <v>3.0</v>
      </c>
      <c r="M720" s="431">
        <v>4.0</v>
      </c>
      <c r="N720" s="555"/>
      <c r="O720" s="431">
        <v>5.0</v>
      </c>
      <c r="P720" s="431">
        <v>3.0</v>
      </c>
      <c r="Q720" s="555"/>
      <c r="R720" s="465"/>
      <c r="S720" s="466">
        <f>IF(ISTEXT($V720), "TBD", RANK(V720,$V719:$V725))</f>
        <v>3</v>
      </c>
      <c r="T720" s="467">
        <v>1.0</v>
      </c>
      <c r="U720" s="468" t="b">
        <f>Rankings!$S720=Rankings!$T720</f>
        <v>0</v>
      </c>
      <c r="V720" s="553">
        <f>IF(ISTEXT(Rankings!F720), "TBD", (RANK($F720,$F719:$F725) + IF(ISTEXT($H720), 0, (RANK($H720,$H719:$H725)/10)) + (RANK($G720,$G719:$G725)/100)))</f>
        <v>2.34</v>
      </c>
      <c r="W720" s="153"/>
    </row>
    <row r="721" ht="15.75" customHeight="1">
      <c r="A721" s="134"/>
      <c r="B721" s="134"/>
      <c r="C721" s="134"/>
      <c r="D721" s="556">
        <f>D719</f>
        <v>46150</v>
      </c>
      <c r="E721" s="469" t="str">
        <f>$M$1</f>
        <v>Giacomo</v>
      </c>
      <c r="F721" s="408">
        <f>IFERROR(AVERAGE(Rankings!$K721:$R721), "TBD")</f>
        <v>4</v>
      </c>
      <c r="G721" s="408">
        <f>IFERROR(_xlfn.STDEV.P(Rankings!$K721:$R721), "TBD")</f>
        <v>1.095445115</v>
      </c>
      <c r="H721" s="408">
        <f>IFERROR(AVERAGE(Rankings!$K721:$L721, Rankings!$N721:$R721), "TBD")</f>
        <v>4.5</v>
      </c>
      <c r="I721" s="437" t="s">
        <v>1721</v>
      </c>
      <c r="J721" s="437" t="s">
        <v>1722</v>
      </c>
      <c r="K721" s="430">
        <v>4.0</v>
      </c>
      <c r="L721" s="431">
        <v>5.0</v>
      </c>
      <c r="M721" s="431">
        <v>2.0</v>
      </c>
      <c r="N721" s="555"/>
      <c r="O721" s="431">
        <v>4.0</v>
      </c>
      <c r="P721" s="431">
        <v>5.0</v>
      </c>
      <c r="Q721" s="555"/>
      <c r="R721" s="465"/>
      <c r="S721" s="466">
        <f>IF(ISTEXT($V721), "TBD", RANK(V721,$V719:$V725))</f>
        <v>5</v>
      </c>
      <c r="T721" s="467">
        <v>1.0</v>
      </c>
      <c r="U721" s="468" t="b">
        <f>Rankings!$S721=Rankings!$T721</f>
        <v>0</v>
      </c>
      <c r="V721" s="553">
        <f>IF(ISTEXT(Rankings!F721), "TBD", (RANK($F721,$F719:$F725) + IF(ISTEXT($H721), 0, (RANK($H721,$H719:$H725)/10)) + (RANK($G721,$G719:$G725)/100)))</f>
        <v>1.12</v>
      </c>
      <c r="W721" s="153"/>
    </row>
    <row r="722" ht="15.75" customHeight="1">
      <c r="A722" s="134"/>
      <c r="B722" s="134"/>
      <c r="C722" s="134"/>
      <c r="D722" s="557">
        <f>D719</f>
        <v>46150</v>
      </c>
      <c r="E722" s="470" t="str">
        <f>$N$1</f>
        <v>Rosey</v>
      </c>
      <c r="F722" s="411" t="str">
        <f>IFERROR(AVERAGE(Rankings!$K722:$R722), "TBD")</f>
        <v>TBD</v>
      </c>
      <c r="G722" s="411" t="str">
        <f>IFERROR(_xlfn.STDEV.P(Rankings!$K722:$R722), "TBD")</f>
        <v>TBD</v>
      </c>
      <c r="H722" s="411" t="str">
        <f>IFERROR(AVERAGE(Rankings!$K722:$M722, Rankings!$O722:$R722), "TBD")</f>
        <v>TBD</v>
      </c>
      <c r="I722" s="568"/>
      <c r="J722" s="568"/>
      <c r="K722" s="565"/>
      <c r="L722" s="566"/>
      <c r="M722" s="431" t="s">
        <v>1723</v>
      </c>
      <c r="N722" s="555"/>
      <c r="O722" s="431" t="s">
        <v>1697</v>
      </c>
      <c r="P722" s="431" t="s">
        <v>1698</v>
      </c>
      <c r="Q722" s="555"/>
      <c r="R722" s="465"/>
      <c r="S722" s="466" t="str">
        <f>IF(ISTEXT($V722), "TBD", RANK(V722,$V719:$V725))</f>
        <v>TBD</v>
      </c>
      <c r="T722" s="467">
        <v>1.0</v>
      </c>
      <c r="U722" s="468" t="b">
        <f>Rankings!$S722=Rankings!$T722</f>
        <v>0</v>
      </c>
      <c r="V722" s="553" t="str">
        <f>IF(ISTEXT(Rankings!F722), "TBD", (RANK($F722,$F719:$F725) + IF(ISTEXT($H722), 0, (RANK($H722,$H719:$H725)/10)) + (RANK($G722,$G719:$G725)/100)))</f>
        <v>TBD</v>
      </c>
      <c r="W722" s="153"/>
    </row>
    <row r="723" ht="15.75" customHeight="1">
      <c r="A723" s="134"/>
      <c r="B723" s="134"/>
      <c r="C723" s="134"/>
      <c r="D723" s="561">
        <f t="shared" ref="D723:D725" si="105">D719</f>
        <v>46150</v>
      </c>
      <c r="E723" s="471" t="str">
        <f>$O$1</f>
        <v>TTAC</v>
      </c>
      <c r="F723" s="414">
        <f>IFERROR(AVERAGE(Rankings!$K723:$R723), "TBD")</f>
        <v>3.6</v>
      </c>
      <c r="G723" s="414">
        <f>IFERROR(_xlfn.STDEV.P(Rankings!$K723:$R723), "TBD")</f>
        <v>1.356465997</v>
      </c>
      <c r="H723" s="414">
        <f>IFERROR(AVERAGE(Rankings!$K723:$N723, Rankings!$P723:$R723), "TBD")</f>
        <v>4</v>
      </c>
      <c r="I723" s="439" t="s">
        <v>1724</v>
      </c>
      <c r="J723" s="439" t="s">
        <v>1725</v>
      </c>
      <c r="K723" s="430">
        <v>5.0</v>
      </c>
      <c r="L723" s="431">
        <v>4.0</v>
      </c>
      <c r="M723" s="431">
        <v>5.0</v>
      </c>
      <c r="N723" s="555"/>
      <c r="O723" s="431">
        <v>2.0</v>
      </c>
      <c r="P723" s="431">
        <v>2.0</v>
      </c>
      <c r="Q723" s="555"/>
      <c r="R723" s="465"/>
      <c r="S723" s="466">
        <f>IF(ISTEXT($V723), "TBD", RANK(V723,$V719:$V725))</f>
        <v>4</v>
      </c>
      <c r="T723" s="467">
        <v>1.0</v>
      </c>
      <c r="U723" s="468" t="b">
        <f>Rankings!$S723=Rankings!$T723</f>
        <v>0</v>
      </c>
      <c r="V723" s="553">
        <f>IF(ISTEXT(Rankings!F723), "TBD", (RANK($F723,$F719:$F725) + IF(ISTEXT($H723), 0, (RANK($H723,$H719:$H725)/10)) + (RANK($G723,$G719:$G725)/100)))</f>
        <v>2.21</v>
      </c>
      <c r="W723" s="153"/>
    </row>
    <row r="724" ht="15.75" customHeight="1">
      <c r="A724" s="134"/>
      <c r="B724" s="134"/>
      <c r="C724" s="134"/>
      <c r="D724" s="562">
        <f t="shared" si="105"/>
        <v>46150</v>
      </c>
      <c r="E724" s="472" t="str">
        <f>$P$1</f>
        <v>Weston</v>
      </c>
      <c r="F724" s="418">
        <f>IFERROR(AVERAGE(Rankings!$K724:$R724), "TBD")</f>
        <v>1.2</v>
      </c>
      <c r="G724" s="418">
        <f>IFERROR(_xlfn.STDEV.P(Rankings!$K724:$R724), "TBD")</f>
        <v>0.4</v>
      </c>
      <c r="H724" s="418">
        <f>IFERROR(AVERAGE(Rankings!$K724:$O724, Rankings!$Q724:$R724), "TBD")</f>
        <v>1.25</v>
      </c>
      <c r="I724" s="440" t="s">
        <v>1726</v>
      </c>
      <c r="J724" s="440" t="s">
        <v>1727</v>
      </c>
      <c r="K724" s="430">
        <v>2.0</v>
      </c>
      <c r="L724" s="431">
        <v>1.0</v>
      </c>
      <c r="M724" s="431">
        <v>1.0</v>
      </c>
      <c r="N724" s="555"/>
      <c r="O724" s="431">
        <v>1.0</v>
      </c>
      <c r="P724" s="431">
        <v>1.0</v>
      </c>
      <c r="Q724" s="555"/>
      <c r="R724" s="465"/>
      <c r="S724" s="466">
        <f>IF(ISTEXT($V724), "TBD", RANK(V724,$V719:$V725))</f>
        <v>1</v>
      </c>
      <c r="T724" s="467">
        <v>1.0</v>
      </c>
      <c r="U724" s="468" t="b">
        <f>Rankings!$S724=Rankings!$T724</f>
        <v>1</v>
      </c>
      <c r="V724" s="553">
        <f>IF(ISTEXT(Rankings!F724), "TBD", (RANK($F724,$F719:$F725) + IF(ISTEXT($H724), 0, (RANK($H724,$H719:$H725)/10)) + (RANK($G724,$G719:$G725)/100)))</f>
        <v>5.55</v>
      </c>
      <c r="W724" s="153"/>
    </row>
    <row r="725" ht="15.75" customHeight="1">
      <c r="A725" s="189"/>
      <c r="B725" s="189"/>
      <c r="C725" s="189"/>
      <c r="D725" s="563">
        <f t="shared" si="105"/>
        <v>46150</v>
      </c>
      <c r="E725" s="131" t="str">
        <f>$Q$1</f>
        <v>Flocco</v>
      </c>
      <c r="F725" s="474" t="str">
        <f>IFERROR(AVERAGE(Rankings!$K725:$R725), "TBD")</f>
        <v>TBD</v>
      </c>
      <c r="G725" s="474" t="str">
        <f>IFERROR(_xlfn.STDEV.P(Rankings!$K725:$R725), "TBD")</f>
        <v>TBD</v>
      </c>
      <c r="H725" s="474" t="str">
        <f>IFERROR(AVERAGE(Rankings!$K725:$P725, Rankings!$R725), "TBD")</f>
        <v>TBD</v>
      </c>
      <c r="I725" s="564" t="s">
        <v>141</v>
      </c>
      <c r="J725" s="564" t="s">
        <v>141</v>
      </c>
      <c r="K725" s="565"/>
      <c r="L725" s="566"/>
      <c r="M725" s="431" t="s">
        <v>1728</v>
      </c>
      <c r="N725" s="555"/>
      <c r="O725" s="431" t="s">
        <v>1704</v>
      </c>
      <c r="P725" s="431" t="s">
        <v>1698</v>
      </c>
      <c r="Q725" s="555"/>
      <c r="R725" s="465"/>
      <c r="S725" s="466" t="str">
        <f>IF(ISTEXT($V725), "TBD", RANK(V725,$V719:$V725))</f>
        <v>TBD</v>
      </c>
      <c r="T725" s="467">
        <v>1.0</v>
      </c>
      <c r="U725" s="468" t="b">
        <f>Rankings!$S725=Rankings!$T725</f>
        <v>0</v>
      </c>
      <c r="V725" s="553" t="str">
        <f>IF(ISTEXT(Rankings!F725), "TBD", (RANK($F725,$F719:$F725) + IF(ISTEXT($H725), 0, (RANK($H725,$H719:$H725)/10)) + (RANK($G725,$G719:$G725)/100)))</f>
        <v>TBD</v>
      </c>
      <c r="W725" s="208"/>
    </row>
    <row r="726" ht="15.75" customHeight="1">
      <c r="A726" s="103">
        <v>46153.0</v>
      </c>
      <c r="B726" s="453"/>
      <c r="C726" s="454" t="str">
        <f t="array" ref="C726">INDEX(Rankings!$E726:$E732, MATCH(1, (Rankings!$D726:$D732=$A726)*(Rankings!$U726:$U732=TRUE()), 0))</f>
        <v>Giacomo</v>
      </c>
      <c r="D726" s="551">
        <f>A726</f>
        <v>46153</v>
      </c>
      <c r="E726" s="455" t="str">
        <f>$K$1</f>
        <v>Logan</v>
      </c>
      <c r="F726" s="400">
        <f>IFERROR(AVERAGE(Rankings!$K726:$R726), "TBD")</f>
        <v>3</v>
      </c>
      <c r="G726" s="400">
        <f>IFERROR(_xlfn.STDEV.P(Rankings!$K726:$R726), "TBD")</f>
        <v>0.632455532</v>
      </c>
      <c r="H726" s="400">
        <f>IFERROR(AVERAGE(Rankings!$L726:$R726), "TBD")</f>
        <v>3</v>
      </c>
      <c r="I726" s="569">
        <v>247.0</v>
      </c>
      <c r="J726" s="421" t="s">
        <v>978</v>
      </c>
      <c r="K726" s="422">
        <v>3.0</v>
      </c>
      <c r="L726" s="423">
        <v>4.0</v>
      </c>
      <c r="M726" s="423">
        <v>3.0</v>
      </c>
      <c r="N726" s="552"/>
      <c r="O726" s="423">
        <v>3.0</v>
      </c>
      <c r="P726" s="423">
        <v>2.0</v>
      </c>
      <c r="Q726" s="552"/>
      <c r="R726" s="457"/>
      <c r="S726" s="458">
        <f>IF(ISTEXT($V726), "TBD", RANK(V726,$V726:$V732))</f>
        <v>3</v>
      </c>
      <c r="T726" s="459">
        <v>1.0</v>
      </c>
      <c r="U726" s="460" t="b">
        <f>Rankings!$S726=Rankings!$T726</f>
        <v>0</v>
      </c>
      <c r="V726" s="553">
        <f>IF(ISTEXT(Rankings!F726), "TBD", (RANK($F726,$F726:$F732) + IF(ISTEXT($H726), 0, (RANK($H726,$H726:$H732)/10)) + (RANK($G726,$G726:$G732)/100)))</f>
        <v>2.35</v>
      </c>
      <c r="W726" s="567"/>
    </row>
    <row r="727" ht="15.75" customHeight="1">
      <c r="A727" s="134"/>
      <c r="B727" s="134"/>
      <c r="C727" s="134"/>
      <c r="D727" s="554">
        <f>D726</f>
        <v>46153</v>
      </c>
      <c r="E727" s="463" t="str">
        <f>$L$1</f>
        <v>Parker</v>
      </c>
      <c r="F727" s="404">
        <f>IFERROR(AVERAGE(Rankings!$K727:$R727), "TBD")</f>
        <v>3</v>
      </c>
      <c r="G727" s="404">
        <f>IFERROR(_xlfn.STDEV.P(Rankings!$K727:$R727), "TBD")</f>
        <v>1.414213562</v>
      </c>
      <c r="H727" s="404">
        <f>IFERROR(AVERAGE(Rankings!$K727, Rankings!$M727:$R727), "TBD")</f>
        <v>3.25</v>
      </c>
      <c r="I727" s="429" t="s">
        <v>1729</v>
      </c>
      <c r="J727" s="429" t="s">
        <v>1730</v>
      </c>
      <c r="K727" s="430">
        <v>1.0</v>
      </c>
      <c r="L727" s="431">
        <v>2.0</v>
      </c>
      <c r="M727" s="431">
        <v>5.0</v>
      </c>
      <c r="N727" s="555"/>
      <c r="O727" s="431">
        <v>4.0</v>
      </c>
      <c r="P727" s="431">
        <v>3.0</v>
      </c>
      <c r="Q727" s="555"/>
      <c r="R727" s="465"/>
      <c r="S727" s="466">
        <f>IF(ISTEXT($V727), "TBD", RANK(V727,$V726:$V732))</f>
        <v>4</v>
      </c>
      <c r="T727" s="467">
        <v>1.0</v>
      </c>
      <c r="U727" s="468" t="b">
        <f>Rankings!$S727=Rankings!$T727</f>
        <v>0</v>
      </c>
      <c r="V727" s="553">
        <f>IF(ISTEXT(Rankings!F727), "TBD", (RANK($F727,$F726:$F732) + IF(ISTEXT($H727), 0, (RANK($H727,$H726:$H732)/10)) + (RANK($G727,$G726:$G732)/100)))</f>
        <v>2.22</v>
      </c>
      <c r="W727" s="153"/>
    </row>
    <row r="728" ht="15.75" customHeight="1">
      <c r="A728" s="134"/>
      <c r="B728" s="134"/>
      <c r="C728" s="134"/>
      <c r="D728" s="556">
        <f>D726</f>
        <v>46153</v>
      </c>
      <c r="E728" s="469" t="str">
        <f>$M$1</f>
        <v>Giacomo</v>
      </c>
      <c r="F728" s="408">
        <f>IFERROR(AVERAGE(Rankings!$K728:$R728), "TBD")</f>
        <v>2.2</v>
      </c>
      <c r="G728" s="408">
        <f>IFERROR(_xlfn.STDEV.P(Rankings!$K728:$R728), "TBD")</f>
        <v>1.469693846</v>
      </c>
      <c r="H728" s="408">
        <f>IFERROR(AVERAGE(Rankings!$K728:$L728, Rankings!$N728:$R728), "TBD")</f>
        <v>2.5</v>
      </c>
      <c r="I728" s="437" t="s">
        <v>1731</v>
      </c>
      <c r="J728" s="437" t="s">
        <v>1732</v>
      </c>
      <c r="K728" s="430">
        <v>4.0</v>
      </c>
      <c r="L728" s="431">
        <v>1.0</v>
      </c>
      <c r="M728" s="431">
        <v>1.0</v>
      </c>
      <c r="N728" s="555"/>
      <c r="O728" s="431">
        <v>1.0</v>
      </c>
      <c r="P728" s="431">
        <v>4.0</v>
      </c>
      <c r="Q728" s="555"/>
      <c r="R728" s="465"/>
      <c r="S728" s="466">
        <f>IF(ISTEXT($V728), "TBD", RANK(V728,$V726:$V732))</f>
        <v>1</v>
      </c>
      <c r="T728" s="467">
        <v>1.0</v>
      </c>
      <c r="U728" s="468" t="b">
        <f>Rankings!$S728=Rankings!$T728</f>
        <v>1</v>
      </c>
      <c r="V728" s="553">
        <f>IF(ISTEXT(Rankings!F728), "TBD", (RANK($F728,$F726:$F732) + IF(ISTEXT($H728), 0, (RANK($H728,$H726:$H732)/10)) + (RANK($G728,$G726:$G732)/100)))</f>
        <v>5.51</v>
      </c>
      <c r="W728" s="153"/>
    </row>
    <row r="729" ht="15.75" customHeight="1">
      <c r="A729" s="134"/>
      <c r="B729" s="134"/>
      <c r="C729" s="134"/>
      <c r="D729" s="557">
        <f>D726</f>
        <v>46153</v>
      </c>
      <c r="E729" s="470" t="str">
        <f>$N$1</f>
        <v>Rosey</v>
      </c>
      <c r="F729" s="411" t="str">
        <f>IFERROR(AVERAGE(Rankings!$K729:$R729), "TBD")</f>
        <v>TBD</v>
      </c>
      <c r="G729" s="411" t="str">
        <f>IFERROR(_xlfn.STDEV.P(Rankings!$K729:$R729), "TBD")</f>
        <v>TBD</v>
      </c>
      <c r="H729" s="411" t="str">
        <f>IFERROR(AVERAGE(Rankings!$K729:$M729, Rankings!$O729:$R729), "TBD")</f>
        <v>TBD</v>
      </c>
      <c r="I729" s="568"/>
      <c r="J729" s="568"/>
      <c r="K729" s="565"/>
      <c r="L729" s="566"/>
      <c r="M729" s="431" t="s">
        <v>1733</v>
      </c>
      <c r="N729" s="555"/>
      <c r="O729" s="431" t="s">
        <v>1697</v>
      </c>
      <c r="P729" s="431" t="s">
        <v>1698</v>
      </c>
      <c r="Q729" s="555"/>
      <c r="R729" s="465"/>
      <c r="S729" s="466" t="str">
        <f>IF(ISTEXT($V729), "TBD", RANK(V729,$V726:$V732))</f>
        <v>TBD</v>
      </c>
      <c r="T729" s="467">
        <v>1.0</v>
      </c>
      <c r="U729" s="468" t="b">
        <f>Rankings!$S729=Rankings!$T729</f>
        <v>0</v>
      </c>
      <c r="V729" s="553" t="str">
        <f>IF(ISTEXT(Rankings!F729), "TBD", (RANK($F729,$F726:$F732) + IF(ISTEXT($H729), 0, (RANK($H729,$H726:$H732)/10)) + (RANK($G729,$G726:$G732)/100)))</f>
        <v>TBD</v>
      </c>
      <c r="W729" s="153"/>
    </row>
    <row r="730" ht="15.75" customHeight="1">
      <c r="A730" s="134"/>
      <c r="B730" s="134"/>
      <c r="C730" s="134"/>
      <c r="D730" s="561">
        <f t="shared" ref="D730:D732" si="106">D726</f>
        <v>46153</v>
      </c>
      <c r="E730" s="471" t="str">
        <f>$O$1</f>
        <v>TTAC</v>
      </c>
      <c r="F730" s="414">
        <f>IFERROR(AVERAGE(Rankings!$K730:$R730), "TBD")</f>
        <v>4.2</v>
      </c>
      <c r="G730" s="414">
        <f>IFERROR(_xlfn.STDEV.P(Rankings!$K730:$R730), "TBD")</f>
        <v>1.166190379</v>
      </c>
      <c r="H730" s="414">
        <f>IFERROR(AVERAGE(Rankings!$K730:$N730, Rankings!$P730:$R730), "TBD")</f>
        <v>4.75</v>
      </c>
      <c r="I730" s="439" t="s">
        <v>1734</v>
      </c>
      <c r="J730" s="439" t="s">
        <v>1735</v>
      </c>
      <c r="K730" s="430">
        <v>5.0</v>
      </c>
      <c r="L730" s="431">
        <v>5.0</v>
      </c>
      <c r="M730" s="431">
        <v>4.0</v>
      </c>
      <c r="N730" s="555"/>
      <c r="O730" s="431">
        <v>2.0</v>
      </c>
      <c r="P730" s="431">
        <v>5.0</v>
      </c>
      <c r="Q730" s="555"/>
      <c r="R730" s="465"/>
      <c r="S730" s="466">
        <f>IF(ISTEXT($V730), "TBD", RANK(V730,$V726:$V732))</f>
        <v>5</v>
      </c>
      <c r="T730" s="467">
        <v>1.0</v>
      </c>
      <c r="U730" s="468" t="b">
        <f>Rankings!$S730=Rankings!$T730</f>
        <v>0</v>
      </c>
      <c r="V730" s="553">
        <f>IF(ISTEXT(Rankings!F730), "TBD", (RANK($F730,$F726:$F732) + IF(ISTEXT($H730), 0, (RANK($H730,$H726:$H732)/10)) + (RANK($G730,$G726:$G732)/100)))</f>
        <v>1.14</v>
      </c>
      <c r="W730" s="153"/>
    </row>
    <row r="731" ht="15.75" customHeight="1">
      <c r="A731" s="134"/>
      <c r="B731" s="134"/>
      <c r="C731" s="134"/>
      <c r="D731" s="562">
        <f t="shared" si="106"/>
        <v>46153</v>
      </c>
      <c r="E731" s="472" t="str">
        <f>$P$1</f>
        <v>Weston</v>
      </c>
      <c r="F731" s="418">
        <f>IFERROR(AVERAGE(Rankings!$K731:$R731), "TBD")</f>
        <v>2.6</v>
      </c>
      <c r="G731" s="418">
        <f>IFERROR(_xlfn.STDEV.P(Rankings!$K731:$R731), "TBD")</f>
        <v>1.356465997</v>
      </c>
      <c r="H731" s="418">
        <f>IFERROR(AVERAGE(Rankings!$K731:$O731, Rankings!$Q731:$R731), "TBD")</f>
        <v>3</v>
      </c>
      <c r="I731" s="440" t="s">
        <v>1736</v>
      </c>
      <c r="J731" s="440" t="s">
        <v>1737</v>
      </c>
      <c r="K731" s="430">
        <v>2.0</v>
      </c>
      <c r="L731" s="431">
        <v>3.0</v>
      </c>
      <c r="M731" s="431">
        <v>2.0</v>
      </c>
      <c r="N731" s="555"/>
      <c r="O731" s="431">
        <v>5.0</v>
      </c>
      <c r="P731" s="431">
        <v>1.0</v>
      </c>
      <c r="Q731" s="555"/>
      <c r="R731" s="465"/>
      <c r="S731" s="466">
        <f>IF(ISTEXT($V731), "TBD", RANK(V731,$V726:$V732))</f>
        <v>2</v>
      </c>
      <c r="T731" s="467">
        <v>1.0</v>
      </c>
      <c r="U731" s="468" t="b">
        <f>Rankings!$S731=Rankings!$T731</f>
        <v>0</v>
      </c>
      <c r="V731" s="553">
        <f>IF(ISTEXT(Rankings!F731), "TBD", (RANK($F731,$F726:$F732) + IF(ISTEXT($H731), 0, (RANK($H731,$H726:$H732)/10)) + (RANK($G731,$G726:$G732)/100)))</f>
        <v>4.33</v>
      </c>
      <c r="W731" s="153"/>
    </row>
    <row r="732" ht="15.75" customHeight="1">
      <c r="A732" s="189"/>
      <c r="B732" s="189"/>
      <c r="C732" s="189"/>
      <c r="D732" s="563">
        <f t="shared" si="106"/>
        <v>46153</v>
      </c>
      <c r="E732" s="131" t="str">
        <f>$Q$1</f>
        <v>Flocco</v>
      </c>
      <c r="F732" s="474" t="str">
        <f>IFERROR(AVERAGE(Rankings!$K732:$R732), "TBD")</f>
        <v>TBD</v>
      </c>
      <c r="G732" s="474" t="str">
        <f>IFERROR(_xlfn.STDEV.P(Rankings!$K732:$R732), "TBD")</f>
        <v>TBD</v>
      </c>
      <c r="H732" s="474" t="str">
        <f>IFERROR(AVERAGE(Rankings!$K732:$P732, Rankings!$R732), "TBD")</f>
        <v>TBD</v>
      </c>
      <c r="I732" s="564"/>
      <c r="J732" s="564"/>
      <c r="K732" s="565"/>
      <c r="L732" s="566"/>
      <c r="M732" s="431" t="s">
        <v>1738</v>
      </c>
      <c r="N732" s="555"/>
      <c r="O732" s="431" t="s">
        <v>1704</v>
      </c>
      <c r="P732" s="431" t="s">
        <v>1698</v>
      </c>
      <c r="Q732" s="555"/>
      <c r="R732" s="465"/>
      <c r="S732" s="466" t="str">
        <f>IF(ISTEXT($V732), "TBD", RANK(V732,$V726:$V732))</f>
        <v>TBD</v>
      </c>
      <c r="T732" s="467">
        <v>1.0</v>
      </c>
      <c r="U732" s="468" t="b">
        <f>Rankings!$S732=Rankings!$T732</f>
        <v>0</v>
      </c>
      <c r="V732" s="553" t="str">
        <f>IF(ISTEXT(Rankings!F732), "TBD", (RANK($F732,$F726:$F732) + IF(ISTEXT($H732), 0, (RANK($H732,$H726:$H732)/10)) + (RANK($G732,$G726:$G732)/100)))</f>
        <v>TBD</v>
      </c>
      <c r="W732" s="208"/>
    </row>
    <row r="733" ht="15.75" customHeight="1">
      <c r="A733" s="103">
        <v>46155.0</v>
      </c>
      <c r="B733" s="453"/>
      <c r="C733" s="454" t="str">
        <f t="array" ref="C733">INDEX(Rankings!$E733:$E739, MATCH(1, (Rankings!$D733:$D739=$A733)*(Rankings!$U733:$U739=TRUE()), 0))</f>
        <v>Logan</v>
      </c>
      <c r="D733" s="551">
        <f>A733</f>
        <v>46155</v>
      </c>
      <c r="E733" s="455" t="str">
        <f>$K$1</f>
        <v>Logan</v>
      </c>
      <c r="F733" s="400">
        <f>IFERROR(AVERAGE(Rankings!$K733:$R733), "TBD")</f>
        <v>1.4</v>
      </c>
      <c r="G733" s="400">
        <f>IFERROR(_xlfn.STDEV.P(Rankings!$K733:$R733), "TBD")</f>
        <v>0.4898979486</v>
      </c>
      <c r="H733" s="400">
        <f>IFERROR(AVERAGE(Rankings!$L733:$R733), "TBD")</f>
        <v>1.5</v>
      </c>
      <c r="I733" s="421" t="s">
        <v>1739</v>
      </c>
      <c r="J733" s="421" t="s">
        <v>1740</v>
      </c>
      <c r="K733" s="422">
        <v>1.0</v>
      </c>
      <c r="L733" s="423">
        <v>1.0</v>
      </c>
      <c r="M733" s="423">
        <v>2.0</v>
      </c>
      <c r="N733" s="552"/>
      <c r="O733" s="423">
        <v>2.0</v>
      </c>
      <c r="P733" s="423">
        <v>1.0</v>
      </c>
      <c r="Q733" s="552"/>
      <c r="R733" s="457"/>
      <c r="S733" s="458">
        <f>IF(ISTEXT($V733), "TBD", RANK(V733,$V733:$V739))</f>
        <v>1</v>
      </c>
      <c r="T733" s="459">
        <v>1.0</v>
      </c>
      <c r="U733" s="460" t="b">
        <f>Rankings!$S733=Rankings!$T733</f>
        <v>1</v>
      </c>
      <c r="V733" s="553">
        <f>IF(ISTEXT(Rankings!F733), "TBD", (RANK($F733,$F733:$F739) + IF(ISTEXT($H733), 0, (RANK($H733,$H733:$H739)/10)) + (RANK($G733,$G733:$G739)/100)))</f>
        <v>5.55</v>
      </c>
      <c r="W733" s="567"/>
    </row>
    <row r="734" ht="15.75" customHeight="1">
      <c r="A734" s="134"/>
      <c r="B734" s="134"/>
      <c r="C734" s="134"/>
      <c r="D734" s="554">
        <f>D733</f>
        <v>46155</v>
      </c>
      <c r="E734" s="463" t="str">
        <f>$L$1</f>
        <v>Parker</v>
      </c>
      <c r="F734" s="404">
        <f>IFERROR(AVERAGE(Rankings!$K734:$R734), "TBD")</f>
        <v>3.6</v>
      </c>
      <c r="G734" s="404">
        <f>IFERROR(_xlfn.STDEV.P(Rankings!$K734:$R734), "TBD")</f>
        <v>1.356465997</v>
      </c>
      <c r="H734" s="404">
        <f>IFERROR(AVERAGE(Rankings!$K734, Rankings!$M734:$R734), "TBD")</f>
        <v>4</v>
      </c>
      <c r="I734" s="429" t="s">
        <v>1741</v>
      </c>
      <c r="J734" s="429" t="s">
        <v>1742</v>
      </c>
      <c r="K734" s="430">
        <v>2.0</v>
      </c>
      <c r="L734" s="431">
        <v>2.0</v>
      </c>
      <c r="M734" s="431">
        <v>4.0</v>
      </c>
      <c r="N734" s="555"/>
      <c r="O734" s="431">
        <v>5.0</v>
      </c>
      <c r="P734" s="431">
        <v>5.0</v>
      </c>
      <c r="Q734" s="555"/>
      <c r="R734" s="465"/>
      <c r="S734" s="466">
        <f>IF(ISTEXT($V734), "TBD", RANK(V734,$V733:$V739))</f>
        <v>4</v>
      </c>
      <c r="T734" s="467">
        <v>1.0</v>
      </c>
      <c r="U734" s="468" t="b">
        <f>Rankings!$S734=Rankings!$T734</f>
        <v>0</v>
      </c>
      <c r="V734" s="553">
        <f>IF(ISTEXT(Rankings!F734), "TBD", (RANK($F734,$F733:$F739) + IF(ISTEXT($H734), 0, (RANK($H734,$H733:$H739)/10)) + (RANK($G734,$G733:$G739)/100)))</f>
        <v>2.12</v>
      </c>
      <c r="W734" s="153"/>
    </row>
    <row r="735" ht="15.75" customHeight="1">
      <c r="A735" s="134"/>
      <c r="B735" s="134"/>
      <c r="C735" s="134"/>
      <c r="D735" s="556">
        <f>D733</f>
        <v>46155</v>
      </c>
      <c r="E735" s="469" t="str">
        <f>$M$1</f>
        <v>Giacomo</v>
      </c>
      <c r="F735" s="408">
        <f>IFERROR(AVERAGE(Rankings!$K735:$R735), "TBD")</f>
        <v>3.8</v>
      </c>
      <c r="G735" s="408">
        <f>IFERROR(_xlfn.STDEV.P(Rankings!$K735:$R735), "TBD")</f>
        <v>0.7483314774</v>
      </c>
      <c r="H735" s="408">
        <f>IFERROR(AVERAGE(Rankings!$K735:$L735, Rankings!$N735:$R735), "TBD")</f>
        <v>4</v>
      </c>
      <c r="I735" s="437" t="s">
        <v>1743</v>
      </c>
      <c r="J735" s="437" t="s">
        <v>1744</v>
      </c>
      <c r="K735" s="430">
        <v>5.0</v>
      </c>
      <c r="L735" s="431">
        <v>4.0</v>
      </c>
      <c r="M735" s="431">
        <v>3.0</v>
      </c>
      <c r="N735" s="555"/>
      <c r="O735" s="431">
        <v>3.0</v>
      </c>
      <c r="P735" s="431">
        <v>4.0</v>
      </c>
      <c r="Q735" s="555"/>
      <c r="R735" s="465"/>
      <c r="S735" s="466">
        <f>IF(ISTEXT($V735), "TBD", RANK(V735,$V733:$V739))</f>
        <v>5</v>
      </c>
      <c r="T735" s="467">
        <v>1.0</v>
      </c>
      <c r="U735" s="468" t="b">
        <f>Rankings!$S735=Rankings!$T735</f>
        <v>0</v>
      </c>
      <c r="V735" s="553">
        <f>IF(ISTEXT(Rankings!F735), "TBD", (RANK($F735,$F733:$F739) + IF(ISTEXT($H735), 0, (RANK($H735,$H733:$H739)/10)) + (RANK($G735,$G733:$G739)/100)))</f>
        <v>1.14</v>
      </c>
      <c r="W735" s="153"/>
    </row>
    <row r="736" ht="15.75" customHeight="1">
      <c r="A736" s="134"/>
      <c r="B736" s="134"/>
      <c r="C736" s="134"/>
      <c r="D736" s="557">
        <f>D733</f>
        <v>46155</v>
      </c>
      <c r="E736" s="470" t="str">
        <f>$N$1</f>
        <v>Rosey</v>
      </c>
      <c r="F736" s="411" t="str">
        <f>IFERROR(AVERAGE(Rankings!$K736:$R736), "TBD")</f>
        <v>TBD</v>
      </c>
      <c r="G736" s="411" t="str">
        <f>IFERROR(_xlfn.STDEV.P(Rankings!$K736:$R736), "TBD")</f>
        <v>TBD</v>
      </c>
      <c r="H736" s="411" t="str">
        <f>IFERROR(AVERAGE(Rankings!$K736:$M736, Rankings!$O736:$R736), "TBD")</f>
        <v>TBD</v>
      </c>
      <c r="I736" s="568"/>
      <c r="J736" s="568"/>
      <c r="K736" s="565"/>
      <c r="L736" s="566"/>
      <c r="M736" s="431" t="s">
        <v>1745</v>
      </c>
      <c r="N736" s="555"/>
      <c r="O736" s="431" t="s">
        <v>1697</v>
      </c>
      <c r="P736" s="431" t="s">
        <v>1698</v>
      </c>
      <c r="Q736" s="555"/>
      <c r="R736" s="465"/>
      <c r="S736" s="466" t="str">
        <f>IF(ISTEXT($V736), "TBD", RANK(V736,$V733:$V739))</f>
        <v>TBD</v>
      </c>
      <c r="T736" s="467">
        <v>1.0</v>
      </c>
      <c r="U736" s="468" t="b">
        <f>Rankings!$S736=Rankings!$T736</f>
        <v>0</v>
      </c>
      <c r="V736" s="553" t="str">
        <f>IF(ISTEXT(Rankings!F736), "TBD", (RANK($F736,$F733:$F739) + IF(ISTEXT($H736), 0, (RANK($H736,$H733:$H739)/10)) + (RANK($G736,$G733:$G739)/100)))</f>
        <v>TBD</v>
      </c>
      <c r="W736" s="153"/>
    </row>
    <row r="737" ht="15.75" customHeight="1">
      <c r="A737" s="134"/>
      <c r="B737" s="134"/>
      <c r="C737" s="134"/>
      <c r="D737" s="561">
        <f t="shared" ref="D737:D739" si="107">D733</f>
        <v>46155</v>
      </c>
      <c r="E737" s="471" t="str">
        <f>$O$1</f>
        <v>TTAC</v>
      </c>
      <c r="F737" s="414">
        <f>IFERROR(AVERAGE(Rankings!$K737:$R737), "TBD")</f>
        <v>3.4</v>
      </c>
      <c r="G737" s="414">
        <f>IFERROR(_xlfn.STDEV.P(Rankings!$K737:$R737), "TBD")</f>
        <v>1.496662955</v>
      </c>
      <c r="H737" s="414">
        <f>IFERROR(AVERAGE(Rankings!$K737:$N737, Rankings!$P737:$R737), "TBD")</f>
        <v>4</v>
      </c>
      <c r="I737" s="439" t="s">
        <v>1746</v>
      </c>
      <c r="J737" s="439" t="s">
        <v>1251</v>
      </c>
      <c r="K737" s="430">
        <v>3.0</v>
      </c>
      <c r="L737" s="431">
        <v>5.0</v>
      </c>
      <c r="M737" s="431">
        <v>5.0</v>
      </c>
      <c r="N737" s="555"/>
      <c r="O737" s="431">
        <v>1.0</v>
      </c>
      <c r="P737" s="431">
        <v>3.0</v>
      </c>
      <c r="Q737" s="555"/>
      <c r="R737" s="465"/>
      <c r="S737" s="466">
        <f>IF(ISTEXT($V737), "TBD", RANK(V737,$V733:$V739))</f>
        <v>3</v>
      </c>
      <c r="T737" s="467">
        <v>1.0</v>
      </c>
      <c r="U737" s="468" t="b">
        <f>Rankings!$S737=Rankings!$T737</f>
        <v>0</v>
      </c>
      <c r="V737" s="553">
        <f>IF(ISTEXT(Rankings!F737), "TBD", (RANK($F737,$F733:$F739) + IF(ISTEXT($H737), 0, (RANK($H737,$H733:$H739)/10)) + (RANK($G737,$G733:$G739)/100)))</f>
        <v>3.11</v>
      </c>
      <c r="W737" s="153"/>
    </row>
    <row r="738" ht="15.75" customHeight="1">
      <c r="A738" s="134"/>
      <c r="B738" s="134"/>
      <c r="C738" s="134"/>
      <c r="D738" s="562">
        <f t="shared" si="107"/>
        <v>46155</v>
      </c>
      <c r="E738" s="472" t="str">
        <f>$P$1</f>
        <v>Weston</v>
      </c>
      <c r="F738" s="418">
        <f>IFERROR(AVERAGE(Rankings!$K738:$R738), "TBD")</f>
        <v>2.8</v>
      </c>
      <c r="G738" s="418">
        <f>IFERROR(_xlfn.STDEV.P(Rankings!$K738:$R738), "TBD")</f>
        <v>1.166190379</v>
      </c>
      <c r="H738" s="418">
        <f>IFERROR(AVERAGE(Rankings!$K738:$O738, Rankings!$Q738:$R738), "TBD")</f>
        <v>3</v>
      </c>
      <c r="I738" s="440" t="s">
        <v>1747</v>
      </c>
      <c r="J738" s="440" t="s">
        <v>1748</v>
      </c>
      <c r="K738" s="430">
        <v>4.0</v>
      </c>
      <c r="L738" s="431">
        <v>3.0</v>
      </c>
      <c r="M738" s="431">
        <v>1.0</v>
      </c>
      <c r="N738" s="555"/>
      <c r="O738" s="431">
        <v>4.0</v>
      </c>
      <c r="P738" s="431">
        <v>2.0</v>
      </c>
      <c r="Q738" s="555"/>
      <c r="R738" s="465"/>
      <c r="S738" s="466">
        <f>IF(ISTEXT($V738), "TBD", RANK(V738,$V733:$V739))</f>
        <v>2</v>
      </c>
      <c r="T738" s="467">
        <v>1.0</v>
      </c>
      <c r="U738" s="468" t="b">
        <f>Rankings!$S738=Rankings!$T738</f>
        <v>0</v>
      </c>
      <c r="V738" s="553">
        <f>IF(ISTEXT(Rankings!F738), "TBD", (RANK($F738,$F733:$F739) + IF(ISTEXT($H738), 0, (RANK($H738,$H733:$H739)/10)) + (RANK($G738,$G733:$G739)/100)))</f>
        <v>4.43</v>
      </c>
      <c r="W738" s="153"/>
    </row>
    <row r="739" ht="15.75" customHeight="1">
      <c r="A739" s="189"/>
      <c r="B739" s="189"/>
      <c r="C739" s="189"/>
      <c r="D739" s="563">
        <f t="shared" si="107"/>
        <v>46155</v>
      </c>
      <c r="E739" s="131" t="str">
        <f>$Q$1</f>
        <v>Flocco</v>
      </c>
      <c r="F739" s="474" t="str">
        <f>IFERROR(AVERAGE(Rankings!$K739:$R739), "TBD")</f>
        <v>TBD</v>
      </c>
      <c r="G739" s="474" t="str">
        <f>IFERROR(_xlfn.STDEV.P(Rankings!$K739:$R739), "TBD")</f>
        <v>TBD</v>
      </c>
      <c r="H739" s="474" t="str">
        <f>IFERROR(AVERAGE(Rankings!$K739:$P739, Rankings!$R739), "TBD")</f>
        <v>TBD</v>
      </c>
      <c r="I739" s="564"/>
      <c r="J739" s="564"/>
      <c r="K739" s="565"/>
      <c r="L739" s="566"/>
      <c r="M739" s="431" t="s">
        <v>1749</v>
      </c>
      <c r="N739" s="555"/>
      <c r="O739" s="431" t="s">
        <v>1704</v>
      </c>
      <c r="P739" s="431" t="s">
        <v>1698</v>
      </c>
      <c r="Q739" s="555"/>
      <c r="R739" s="465"/>
      <c r="S739" s="466" t="str">
        <f>IF(ISTEXT($V739), "TBD", RANK(V739,$V733:$V739))</f>
        <v>TBD</v>
      </c>
      <c r="T739" s="467">
        <v>1.0</v>
      </c>
      <c r="U739" s="468" t="b">
        <f>Rankings!$S739=Rankings!$T739</f>
        <v>0</v>
      </c>
      <c r="V739" s="553" t="str">
        <f>IF(ISTEXT(Rankings!F739), "TBD", (RANK($F739,$F733:$F739) + IF(ISTEXT($H739), 0, (RANK($H739,$H733:$H739)/10)) + (RANK($G739,$G733:$G739)/100)))</f>
        <v>TBD</v>
      </c>
      <c r="W739" s="208"/>
    </row>
    <row r="740" ht="15.75" customHeight="1">
      <c r="A740" s="103">
        <v>46157.0</v>
      </c>
      <c r="B740" s="453"/>
      <c r="C740" s="454" t="str">
        <f t="array" ref="C740">INDEX(Rankings!$E740:$E746, MATCH(1, (Rankings!$D740:$D746=$A740)*(Rankings!$U740:$U746=TRUE()), 0))</f>
        <v>Weston</v>
      </c>
      <c r="D740" s="551">
        <f>A740</f>
        <v>46157</v>
      </c>
      <c r="E740" s="455" t="str">
        <f>$K$1</f>
        <v>Logan</v>
      </c>
      <c r="F740" s="400">
        <f>IFERROR(AVERAGE(Rankings!$K740:$R740), "TBD")</f>
        <v>2.8</v>
      </c>
      <c r="G740" s="400">
        <f>IFERROR(_xlfn.STDEV.P(Rankings!$K740:$R740), "TBD")</f>
        <v>1.6</v>
      </c>
      <c r="H740" s="400">
        <f>IFERROR(AVERAGE(Rankings!$L740:$R740), "TBD")</f>
        <v>3.25</v>
      </c>
      <c r="I740" s="421" t="s">
        <v>1750</v>
      </c>
      <c r="J740" s="421" t="s">
        <v>1751</v>
      </c>
      <c r="K740" s="422">
        <v>1.0</v>
      </c>
      <c r="L740" s="423">
        <v>3.0</v>
      </c>
      <c r="M740" s="423">
        <v>1.0</v>
      </c>
      <c r="N740" s="552"/>
      <c r="O740" s="423">
        <v>4.0</v>
      </c>
      <c r="P740" s="423">
        <v>5.0</v>
      </c>
      <c r="Q740" s="552"/>
      <c r="R740" s="457"/>
      <c r="S740" s="458">
        <f>IF(ISTEXT($V740), "TBD", RANK(V740,$V740:$V746))</f>
        <v>3</v>
      </c>
      <c r="T740" s="459">
        <v>1.0</v>
      </c>
      <c r="U740" s="460" t="b">
        <f>Rankings!$S740=Rankings!$T740</f>
        <v>0</v>
      </c>
      <c r="V740" s="553">
        <f>IF(ISTEXT(Rankings!F740), "TBD", (RANK($F740,$F740:$F746) + IF(ISTEXT($H740), 0, (RANK($H740,$H740:$H746)/10)) + (RANK($G740,$G740:$G746)/100)))</f>
        <v>3.31</v>
      </c>
      <c r="W740" s="329" t="s">
        <v>1752</v>
      </c>
    </row>
    <row r="741" ht="15.75" customHeight="1">
      <c r="A741" s="134"/>
      <c r="B741" s="134"/>
      <c r="C741" s="134"/>
      <c r="D741" s="554">
        <f>D740</f>
        <v>46157</v>
      </c>
      <c r="E741" s="463" t="str">
        <f>$L$1</f>
        <v>Parker</v>
      </c>
      <c r="F741" s="404">
        <f>IFERROR(AVERAGE(Rankings!$K741:$R741), "TBD")</f>
        <v>2.6</v>
      </c>
      <c r="G741" s="404">
        <f>IFERROR(_xlfn.STDEV.P(Rankings!$K741:$R741), "TBD")</f>
        <v>1.019803903</v>
      </c>
      <c r="H741" s="404">
        <f>IFERROR(AVERAGE(Rankings!$K741, Rankings!$M741:$R741), "TBD")</f>
        <v>3</v>
      </c>
      <c r="I741" s="429" t="s">
        <v>1753</v>
      </c>
      <c r="J741" s="429" t="s">
        <v>1754</v>
      </c>
      <c r="K741" s="430">
        <v>3.0</v>
      </c>
      <c r="L741" s="431">
        <v>1.0</v>
      </c>
      <c r="M741" s="431">
        <v>4.0</v>
      </c>
      <c r="N741" s="555"/>
      <c r="O741" s="431">
        <v>3.0</v>
      </c>
      <c r="P741" s="431">
        <v>2.0</v>
      </c>
      <c r="Q741" s="555"/>
      <c r="R741" s="465"/>
      <c r="S741" s="466">
        <f>IF(ISTEXT($V741), "TBD", RANK(V741,$V740:$V746))</f>
        <v>2</v>
      </c>
      <c r="T741" s="467">
        <v>1.0</v>
      </c>
      <c r="U741" s="468" t="b">
        <f>Rankings!$S741=Rankings!$T741</f>
        <v>0</v>
      </c>
      <c r="V741" s="553">
        <f>IF(ISTEXT(Rankings!F741), "TBD", (RANK($F741,$F740:$F746) + IF(ISTEXT($H741), 0, (RANK($H741,$H740:$H746)/10)) + (RANK($G741,$G740:$G746)/100)))</f>
        <v>4.44</v>
      </c>
      <c r="W741" s="153"/>
    </row>
    <row r="742" ht="15.75" customHeight="1">
      <c r="A742" s="134"/>
      <c r="B742" s="134"/>
      <c r="C742" s="134"/>
      <c r="D742" s="556">
        <f>D740</f>
        <v>46157</v>
      </c>
      <c r="E742" s="469" t="str">
        <f>$M$1</f>
        <v>Giacomo</v>
      </c>
      <c r="F742" s="408">
        <f>IFERROR(AVERAGE(Rankings!$K742:$R742), "TBD")</f>
        <v>4</v>
      </c>
      <c r="G742" s="408">
        <f>IFERROR(_xlfn.STDEV.P(Rankings!$K742:$R742), "TBD")</f>
        <v>1.095445115</v>
      </c>
      <c r="H742" s="408">
        <f>IFERROR(AVERAGE(Rankings!$K742:$L742, Rankings!$N742:$R742), "TBD")</f>
        <v>4.5</v>
      </c>
      <c r="I742" s="437" t="s">
        <v>1755</v>
      </c>
      <c r="J742" s="437" t="s">
        <v>712</v>
      </c>
      <c r="K742" s="430">
        <v>5.0</v>
      </c>
      <c r="L742" s="431">
        <v>4.0</v>
      </c>
      <c r="M742" s="431">
        <v>2.0</v>
      </c>
      <c r="N742" s="555"/>
      <c r="O742" s="431">
        <v>5.0</v>
      </c>
      <c r="P742" s="431">
        <v>4.0</v>
      </c>
      <c r="Q742" s="555"/>
      <c r="R742" s="465"/>
      <c r="S742" s="466">
        <f>IF(ISTEXT($V742), "TBD", RANK(V742,$V740:$V746))</f>
        <v>5</v>
      </c>
      <c r="T742" s="467">
        <v>1.0</v>
      </c>
      <c r="U742" s="468" t="b">
        <f>Rankings!$S742=Rankings!$T742</f>
        <v>0</v>
      </c>
      <c r="V742" s="553">
        <f>IF(ISTEXT(Rankings!F742), "TBD", (RANK($F742,$F740:$F746) + IF(ISTEXT($H742), 0, (RANK($H742,$H740:$H746)/10)) + (RANK($G742,$G740:$G746)/100)))</f>
        <v>1.13</v>
      </c>
      <c r="W742" s="153"/>
    </row>
    <row r="743" ht="15.75" customHeight="1">
      <c r="A743" s="134"/>
      <c r="B743" s="134"/>
      <c r="C743" s="134"/>
      <c r="D743" s="557">
        <f>D740</f>
        <v>46157</v>
      </c>
      <c r="E743" s="470" t="str">
        <f>$N$1</f>
        <v>Rosey</v>
      </c>
      <c r="F743" s="411" t="str">
        <f>IFERROR(AVERAGE(Rankings!$K743:$R743), "TBD")</f>
        <v>TBD</v>
      </c>
      <c r="G743" s="411" t="str">
        <f>IFERROR(_xlfn.STDEV.P(Rankings!$K743:$R743), "TBD")</f>
        <v>TBD</v>
      </c>
      <c r="H743" s="411" t="str">
        <f>IFERROR(AVERAGE(Rankings!$K743:$M743, Rankings!$O743:$R743), "TBD")</f>
        <v>TBD</v>
      </c>
      <c r="I743" s="568"/>
      <c r="J743" s="568"/>
      <c r="K743" s="565"/>
      <c r="L743" s="566"/>
      <c r="M743" s="431" t="s">
        <v>1756</v>
      </c>
      <c r="N743" s="555"/>
      <c r="O743" s="431" t="s">
        <v>1697</v>
      </c>
      <c r="P743" s="431" t="s">
        <v>1698</v>
      </c>
      <c r="Q743" s="555"/>
      <c r="R743" s="465"/>
      <c r="S743" s="466" t="str">
        <f>IF(ISTEXT($V743), "TBD", RANK(V743,$V740:$V746))</f>
        <v>TBD</v>
      </c>
      <c r="T743" s="467">
        <v>1.0</v>
      </c>
      <c r="U743" s="468" t="b">
        <f>Rankings!$S743=Rankings!$T743</f>
        <v>0</v>
      </c>
      <c r="V743" s="553" t="str">
        <f>IF(ISTEXT(Rankings!F743), "TBD", (RANK($F743,$F740:$F746) + IF(ISTEXT($H743), 0, (RANK($H743,$H740:$H746)/10)) + (RANK($G743,$G740:$G746)/100)))</f>
        <v>TBD</v>
      </c>
      <c r="W743" s="153"/>
    </row>
    <row r="744" ht="15.75" customHeight="1">
      <c r="A744" s="134"/>
      <c r="B744" s="134"/>
      <c r="C744" s="134"/>
      <c r="D744" s="561">
        <f t="shared" ref="D744:D746" si="108">D740</f>
        <v>46157</v>
      </c>
      <c r="E744" s="471" t="str">
        <f>$O$1</f>
        <v>TTAC</v>
      </c>
      <c r="F744" s="414">
        <f>IFERROR(AVERAGE(Rankings!$K744:$R744), "TBD")</f>
        <v>3.6</v>
      </c>
      <c r="G744" s="414">
        <f>IFERROR(_xlfn.STDEV.P(Rankings!$K744:$R744), "TBD")</f>
        <v>1.496662955</v>
      </c>
      <c r="H744" s="414">
        <f>IFERROR(AVERAGE(Rankings!$K744:$N744, Rankings!$P744:$R744), "TBD")</f>
        <v>4.25</v>
      </c>
      <c r="I744" s="439" t="s">
        <v>1757</v>
      </c>
      <c r="J744" s="439" t="s">
        <v>1758</v>
      </c>
      <c r="K744" s="430">
        <v>4.0</v>
      </c>
      <c r="L744" s="431">
        <v>5.0</v>
      </c>
      <c r="M744" s="431">
        <v>5.0</v>
      </c>
      <c r="N744" s="555"/>
      <c r="O744" s="431">
        <v>1.0</v>
      </c>
      <c r="P744" s="431">
        <v>3.0</v>
      </c>
      <c r="Q744" s="555"/>
      <c r="R744" s="465"/>
      <c r="S744" s="466">
        <f>IF(ISTEXT($V744), "TBD", RANK(V744,$V740:$V746))</f>
        <v>4</v>
      </c>
      <c r="T744" s="467">
        <v>1.0</v>
      </c>
      <c r="U744" s="468" t="b">
        <f>Rankings!$S744=Rankings!$T744</f>
        <v>0</v>
      </c>
      <c r="V744" s="553">
        <f>IF(ISTEXT(Rankings!F744), "TBD", (RANK($F744,$F740:$F746) + IF(ISTEXT($H744), 0, (RANK($H744,$H740:$H746)/10)) + (RANK($G744,$G740:$G746)/100)))</f>
        <v>2.22</v>
      </c>
      <c r="W744" s="153"/>
    </row>
    <row r="745" ht="15.75" customHeight="1">
      <c r="A745" s="134"/>
      <c r="B745" s="134"/>
      <c r="C745" s="134"/>
      <c r="D745" s="562">
        <f t="shared" si="108"/>
        <v>46157</v>
      </c>
      <c r="E745" s="472" t="str">
        <f>$P$1</f>
        <v>Weston</v>
      </c>
      <c r="F745" s="418">
        <f>IFERROR(AVERAGE(Rankings!$K745:$R745), "TBD")</f>
        <v>2</v>
      </c>
      <c r="G745" s="418">
        <f>IFERROR(_xlfn.STDEV.P(Rankings!$K745:$R745), "TBD")</f>
        <v>0.632455532</v>
      </c>
      <c r="H745" s="418">
        <f>IFERROR(AVERAGE(Rankings!$K745:$O745, Rankings!$Q745:$R745), "TBD")</f>
        <v>2.25</v>
      </c>
      <c r="I745" s="440" t="s">
        <v>171</v>
      </c>
      <c r="J745" s="440" t="s">
        <v>256</v>
      </c>
      <c r="K745" s="430">
        <v>2.0</v>
      </c>
      <c r="L745" s="431">
        <v>2.0</v>
      </c>
      <c r="M745" s="431">
        <v>3.0</v>
      </c>
      <c r="N745" s="555"/>
      <c r="O745" s="431">
        <v>2.0</v>
      </c>
      <c r="P745" s="431">
        <v>1.0</v>
      </c>
      <c r="Q745" s="555"/>
      <c r="R745" s="465"/>
      <c r="S745" s="466">
        <f>IF(ISTEXT($V745), "TBD", RANK(V745,$V740:$V746))</f>
        <v>1</v>
      </c>
      <c r="T745" s="467">
        <v>1.0</v>
      </c>
      <c r="U745" s="468" t="b">
        <f>Rankings!$S745=Rankings!$T745</f>
        <v>1</v>
      </c>
      <c r="V745" s="553">
        <f>IF(ISTEXT(Rankings!F745), "TBD", (RANK($F745,$F740:$F746) + IF(ISTEXT($H745), 0, (RANK($H745,$H740:$H746)/10)) + (RANK($G745,$G740:$G746)/100)))</f>
        <v>5.55</v>
      </c>
      <c r="W745" s="153"/>
    </row>
    <row r="746" ht="15.75" customHeight="1">
      <c r="A746" s="189"/>
      <c r="B746" s="189"/>
      <c r="C746" s="189"/>
      <c r="D746" s="563">
        <f t="shared" si="108"/>
        <v>46157</v>
      </c>
      <c r="E746" s="131" t="str">
        <f>$Q$1</f>
        <v>Flocco</v>
      </c>
      <c r="F746" s="474" t="str">
        <f>IFERROR(AVERAGE(Rankings!$K746:$R746), "TBD")</f>
        <v>TBD</v>
      </c>
      <c r="G746" s="474" t="str">
        <f>IFERROR(_xlfn.STDEV.P(Rankings!$K746:$R746), "TBD")</f>
        <v>TBD</v>
      </c>
      <c r="H746" s="474" t="str">
        <f>IFERROR(AVERAGE(Rankings!$K746:$P746, Rankings!$R746), "TBD")</f>
        <v>TBD</v>
      </c>
      <c r="I746" s="564"/>
      <c r="J746" s="564"/>
      <c r="K746" s="565"/>
      <c r="L746" s="566"/>
      <c r="M746" s="431" t="s">
        <v>68</v>
      </c>
      <c r="N746" s="555"/>
      <c r="O746" s="431" t="s">
        <v>1704</v>
      </c>
      <c r="P746" s="431" t="s">
        <v>1698</v>
      </c>
      <c r="Q746" s="555"/>
      <c r="R746" s="465"/>
      <c r="S746" s="466" t="str">
        <f>IF(ISTEXT($V746), "TBD", RANK(V746,$V740:$V746))</f>
        <v>TBD</v>
      </c>
      <c r="T746" s="467">
        <v>1.0</v>
      </c>
      <c r="U746" s="468" t="b">
        <f>Rankings!$S746=Rankings!$T746</f>
        <v>0</v>
      </c>
      <c r="V746" s="553" t="str">
        <f>IF(ISTEXT(Rankings!F746), "TBD", (RANK($F746,$F740:$F746) + IF(ISTEXT($H746), 0, (RANK($H746,$H740:$H746)/10)) + (RANK($G746,$G740:$G746)/100)))</f>
        <v>TBD</v>
      </c>
      <c r="W746" s="208"/>
    </row>
    <row r="747" ht="15.75" customHeight="1">
      <c r="A747" s="103">
        <v>46160.0</v>
      </c>
      <c r="B747" s="453"/>
      <c r="C747" s="454" t="str">
        <f t="array" ref="C747">INDEX(Rankings!$E747:$E753, MATCH(1, (Rankings!$D747:$D753=$A747)*(Rankings!$U747:$U753=TRUE()), 0))</f>
        <v>Giacomo</v>
      </c>
      <c r="D747" s="551">
        <f>A747</f>
        <v>46160</v>
      </c>
      <c r="E747" s="455" t="str">
        <f>$K$1</f>
        <v>Logan</v>
      </c>
      <c r="F747" s="400">
        <f>IFERROR(AVERAGE(Rankings!$K747:$R747), "TBD")</f>
        <v>3.833333333</v>
      </c>
      <c r="G747" s="400">
        <f>IFERROR(_xlfn.STDEV.P(Rankings!$K747:$R747), "TBD")</f>
        <v>1.462494065</v>
      </c>
      <c r="H747" s="400">
        <f>IFERROR(AVERAGE(Rankings!$L747:$R747), "TBD")</f>
        <v>4.2</v>
      </c>
      <c r="I747" s="421" t="s">
        <v>1759</v>
      </c>
      <c r="J747" s="421" t="s">
        <v>1760</v>
      </c>
      <c r="K747" s="422">
        <v>2.0</v>
      </c>
      <c r="L747" s="423">
        <v>4.0</v>
      </c>
      <c r="M747" s="423">
        <v>5.0</v>
      </c>
      <c r="N747" s="552"/>
      <c r="O747" s="423">
        <v>4.0</v>
      </c>
      <c r="P747" s="423">
        <v>6.0</v>
      </c>
      <c r="Q747" s="456">
        <v>2.0</v>
      </c>
      <c r="R747" s="457"/>
      <c r="S747" s="458">
        <f>IF(ISTEXT($V747), "TBD", RANK(V747,$V747:$V753))</f>
        <v>5</v>
      </c>
      <c r="T747" s="459">
        <v>1.0</v>
      </c>
      <c r="U747" s="460" t="b">
        <f>Rankings!$S747=Rankings!$T747</f>
        <v>0</v>
      </c>
      <c r="V747" s="553">
        <f>IF(ISTEXT(Rankings!F747), "TBD", (RANK($F747,$F747:$F753) + IF(ISTEXT($H747), 0, (RANK($H747,$H747:$H753)/10)) + (RANK($G747,$G747:$G753)/100)))</f>
        <v>2.21</v>
      </c>
      <c r="W747" s="567"/>
    </row>
    <row r="748" ht="15.75" customHeight="1">
      <c r="A748" s="134"/>
      <c r="B748" s="134"/>
      <c r="C748" s="134"/>
      <c r="D748" s="554">
        <f>D747</f>
        <v>46160</v>
      </c>
      <c r="E748" s="463" t="str">
        <f>$L$1</f>
        <v>Parker</v>
      </c>
      <c r="F748" s="404">
        <f>IFERROR(AVERAGE(Rankings!$K748:$R748), "TBD")</f>
        <v>3</v>
      </c>
      <c r="G748" s="404">
        <f>IFERROR(_xlfn.STDEV.P(Rankings!$K748:$R748), "TBD")</f>
        <v>1</v>
      </c>
      <c r="H748" s="404">
        <f>IFERROR(AVERAGE(Rankings!$K748, Rankings!$M748:$R748), "TBD")</f>
        <v>3.2</v>
      </c>
      <c r="I748" s="429" t="s">
        <v>1761</v>
      </c>
      <c r="J748" s="429" t="s">
        <v>1762</v>
      </c>
      <c r="K748" s="430">
        <v>3.0</v>
      </c>
      <c r="L748" s="431">
        <v>2.0</v>
      </c>
      <c r="M748" s="431">
        <v>2.0</v>
      </c>
      <c r="N748" s="555"/>
      <c r="O748" s="431">
        <v>5.0</v>
      </c>
      <c r="P748" s="431">
        <v>3.0</v>
      </c>
      <c r="Q748" s="464">
        <v>3.0</v>
      </c>
      <c r="R748" s="465"/>
      <c r="S748" s="466">
        <f>IF(ISTEXT($V748), "TBD", RANK(V748,$V747:$V753))</f>
        <v>2</v>
      </c>
      <c r="T748" s="467">
        <v>1.0</v>
      </c>
      <c r="U748" s="468" t="b">
        <f>Rankings!$S748=Rankings!$T748</f>
        <v>0</v>
      </c>
      <c r="V748" s="553">
        <f>IF(ISTEXT(Rankings!F748), "TBD", (RANK($F748,$F747:$F753) + IF(ISTEXT($H748), 0, (RANK($H748,$H747:$H753)/10)) + (RANK($G748,$G747:$G753)/100)))</f>
        <v>5.56</v>
      </c>
      <c r="W748" s="153"/>
    </row>
    <row r="749" ht="15.75" customHeight="1">
      <c r="A749" s="134"/>
      <c r="B749" s="134"/>
      <c r="C749" s="134"/>
      <c r="D749" s="556">
        <f>D747</f>
        <v>46160</v>
      </c>
      <c r="E749" s="469" t="str">
        <f>$M$1</f>
        <v>Giacomo</v>
      </c>
      <c r="F749" s="408">
        <f>IFERROR(AVERAGE(Rankings!$K749:$R749), "TBD")</f>
        <v>1.5</v>
      </c>
      <c r="G749" s="408">
        <f>IFERROR(_xlfn.STDEV.P(Rankings!$K749:$R749), "TBD")</f>
        <v>1.118033989</v>
      </c>
      <c r="H749" s="408">
        <f>IFERROR(AVERAGE(Rankings!$K749:$L749, Rankings!$N749:$R749), "TBD")</f>
        <v>1.6</v>
      </c>
      <c r="I749" s="437" t="s">
        <v>1763</v>
      </c>
      <c r="J749" s="437" t="s">
        <v>1764</v>
      </c>
      <c r="K749" s="430">
        <v>1.0</v>
      </c>
      <c r="L749" s="431">
        <v>1.0</v>
      </c>
      <c r="M749" s="431">
        <v>1.0</v>
      </c>
      <c r="N749" s="555"/>
      <c r="O749" s="431">
        <v>1.0</v>
      </c>
      <c r="P749" s="431">
        <v>1.0</v>
      </c>
      <c r="Q749" s="464">
        <v>4.0</v>
      </c>
      <c r="R749" s="465"/>
      <c r="S749" s="466">
        <f>IF(ISTEXT($V749), "TBD", RANK(V749,$V747:$V753))</f>
        <v>1</v>
      </c>
      <c r="T749" s="467">
        <v>1.0</v>
      </c>
      <c r="U749" s="468" t="b">
        <f>Rankings!$S749=Rankings!$T749</f>
        <v>1</v>
      </c>
      <c r="V749" s="553">
        <f>IF(ISTEXT(Rankings!F749), "TBD", (RANK($F749,$F747:$F753) + IF(ISTEXT($H749), 0, (RANK($H749,$H747:$H753)/10)) + (RANK($G749,$G747:$G753)/100)))</f>
        <v>6.65</v>
      </c>
      <c r="W749" s="153"/>
    </row>
    <row r="750" ht="15.75" customHeight="1">
      <c r="A750" s="134"/>
      <c r="B750" s="134"/>
      <c r="C750" s="134"/>
      <c r="D750" s="557">
        <f>D747</f>
        <v>46160</v>
      </c>
      <c r="E750" s="470" t="str">
        <f>$N$1</f>
        <v>Rosey</v>
      </c>
      <c r="F750" s="411" t="str">
        <f>IFERROR(AVERAGE(Rankings!$K750:$R750), "TBD")</f>
        <v>TBD</v>
      </c>
      <c r="G750" s="411" t="str">
        <f>IFERROR(_xlfn.STDEV.P(Rankings!$K750:$R750), "TBD")</f>
        <v>TBD</v>
      </c>
      <c r="H750" s="411" t="str">
        <f>IFERROR(AVERAGE(Rankings!$K750:$M750, Rankings!$O750:$R750), "TBD")</f>
        <v>TBD</v>
      </c>
      <c r="I750" s="568"/>
      <c r="J750" s="568"/>
      <c r="K750" s="565"/>
      <c r="L750" s="566"/>
      <c r="M750" s="431" t="s">
        <v>1765</v>
      </c>
      <c r="N750" s="555"/>
      <c r="O750" s="431" t="s">
        <v>1697</v>
      </c>
      <c r="P750" s="431" t="s">
        <v>1698</v>
      </c>
      <c r="Q750" s="464" t="s">
        <v>1766</v>
      </c>
      <c r="R750" s="465"/>
      <c r="S750" s="466" t="str">
        <f>IF(ISTEXT($V750), "TBD", RANK(V750,$V747:$V753))</f>
        <v>TBD</v>
      </c>
      <c r="T750" s="467">
        <v>1.0</v>
      </c>
      <c r="U750" s="468" t="b">
        <f>Rankings!$S750=Rankings!$T750</f>
        <v>0</v>
      </c>
      <c r="V750" s="553" t="str">
        <f>IF(ISTEXT(Rankings!F750), "TBD", (RANK($F750,$F747:$F753) + IF(ISTEXT($H750), 0, (RANK($H750,$H747:$H753)/10)) + (RANK($G750,$G747:$G753)/100)))</f>
        <v>TBD</v>
      </c>
      <c r="W750" s="153"/>
    </row>
    <row r="751" ht="15.75" customHeight="1">
      <c r="A751" s="134"/>
      <c r="B751" s="134"/>
      <c r="C751" s="134"/>
      <c r="D751" s="561">
        <f t="shared" ref="D751:D753" si="109">D747</f>
        <v>46160</v>
      </c>
      <c r="E751" s="471" t="str">
        <f>$O$1</f>
        <v>TTAC</v>
      </c>
      <c r="F751" s="414">
        <f>IFERROR(AVERAGE(Rankings!$K751:$R751), "TBD")</f>
        <v>5.166666667</v>
      </c>
      <c r="G751" s="414">
        <f>IFERROR(_xlfn.STDEV.P(Rankings!$K751:$R751), "TBD")</f>
        <v>1.462494065</v>
      </c>
      <c r="H751" s="414">
        <f>IFERROR(AVERAGE(Rankings!$K751:$N751, Rankings!$P751:$R751), "TBD")</f>
        <v>5.8</v>
      </c>
      <c r="I751" s="439" t="s">
        <v>1735</v>
      </c>
      <c r="J751" s="439" t="s">
        <v>1767</v>
      </c>
      <c r="K751" s="430">
        <v>6.0</v>
      </c>
      <c r="L751" s="431">
        <v>6.0</v>
      </c>
      <c r="M751" s="431">
        <v>6.0</v>
      </c>
      <c r="N751" s="555"/>
      <c r="O751" s="431">
        <v>2.0</v>
      </c>
      <c r="P751" s="431">
        <v>5.0</v>
      </c>
      <c r="Q751" s="464">
        <v>6.0</v>
      </c>
      <c r="R751" s="465"/>
      <c r="S751" s="466">
        <f>IF(ISTEXT($V751), "TBD", RANK(V751,$V747:$V753))</f>
        <v>6</v>
      </c>
      <c r="T751" s="467">
        <v>1.0</v>
      </c>
      <c r="U751" s="468" t="b">
        <f>Rankings!$S751=Rankings!$T751</f>
        <v>0</v>
      </c>
      <c r="V751" s="553">
        <f>IF(ISTEXT(Rankings!F751), "TBD", (RANK($F751,$F747:$F753) + IF(ISTEXT($H751), 0, (RANK($H751,$H747:$H753)/10)) + (RANK($G751,$G747:$G753)/100)))</f>
        <v>1.12</v>
      </c>
      <c r="W751" s="153"/>
    </row>
    <row r="752" ht="15.75" customHeight="1">
      <c r="A752" s="134"/>
      <c r="B752" s="134"/>
      <c r="C752" s="134"/>
      <c r="D752" s="562">
        <f t="shared" si="109"/>
        <v>46160</v>
      </c>
      <c r="E752" s="472" t="str">
        <f>$P$1</f>
        <v>Weston</v>
      </c>
      <c r="F752" s="418">
        <f>IFERROR(AVERAGE(Rankings!$K752:$R752), "TBD")</f>
        <v>3.833333333</v>
      </c>
      <c r="G752" s="418">
        <f>IFERROR(_xlfn.STDEV.P(Rankings!$K752:$R752), "TBD")</f>
        <v>1.343709625</v>
      </c>
      <c r="H752" s="418">
        <f>IFERROR(AVERAGE(Rankings!$K752:$O752, Rankings!$Q752:$R752), "TBD")</f>
        <v>4.2</v>
      </c>
      <c r="I752" s="440" t="s">
        <v>1768</v>
      </c>
      <c r="J752" s="440" t="s">
        <v>1769</v>
      </c>
      <c r="K752" s="430">
        <v>4.0</v>
      </c>
      <c r="L752" s="431">
        <v>3.0</v>
      </c>
      <c r="M752" s="431">
        <v>3.0</v>
      </c>
      <c r="N752" s="555"/>
      <c r="O752" s="431">
        <v>6.0</v>
      </c>
      <c r="P752" s="431">
        <v>2.0</v>
      </c>
      <c r="Q752" s="464">
        <v>5.0</v>
      </c>
      <c r="R752" s="465"/>
      <c r="S752" s="466">
        <f>IF(ISTEXT($V752), "TBD", RANK(V752,$V747:$V753))</f>
        <v>4</v>
      </c>
      <c r="T752" s="467">
        <v>1.0</v>
      </c>
      <c r="U752" s="468" t="b">
        <f>Rankings!$S752=Rankings!$T752</f>
        <v>0</v>
      </c>
      <c r="V752" s="553">
        <f>IF(ISTEXT(Rankings!F752), "TBD", (RANK($F752,$F747:$F753) + IF(ISTEXT($H752), 0, (RANK($H752,$H747:$H753)/10)) + (RANK($G752,$G747:$G753)/100)))</f>
        <v>2.24</v>
      </c>
      <c r="W752" s="153"/>
    </row>
    <row r="753" ht="15.75" customHeight="1">
      <c r="A753" s="189"/>
      <c r="B753" s="189"/>
      <c r="C753" s="189"/>
      <c r="D753" s="563">
        <f t="shared" si="109"/>
        <v>46160</v>
      </c>
      <c r="E753" s="131" t="str">
        <f>$Q$1</f>
        <v>Flocco</v>
      </c>
      <c r="F753" s="474">
        <f>IFERROR(AVERAGE(Rankings!$K753:$R753), "TBD")</f>
        <v>3.666666667</v>
      </c>
      <c r="G753" s="474">
        <f>IFERROR(_xlfn.STDEV.P(Rankings!$K753:$R753), "TBD")</f>
        <v>1.374368542</v>
      </c>
      <c r="H753" s="474">
        <f>IFERROR(AVERAGE(Rankings!$K753:$P753, Rankings!$R753), "TBD")</f>
        <v>4.2</v>
      </c>
      <c r="I753" s="475" t="s">
        <v>1770</v>
      </c>
      <c r="J753" s="475" t="s">
        <v>1180</v>
      </c>
      <c r="K753" s="430">
        <v>5.0</v>
      </c>
      <c r="L753" s="431">
        <v>5.0</v>
      </c>
      <c r="M753" s="431">
        <v>4.0</v>
      </c>
      <c r="N753" s="555"/>
      <c r="O753" s="431">
        <v>3.0</v>
      </c>
      <c r="P753" s="431">
        <v>4.0</v>
      </c>
      <c r="Q753" s="464">
        <v>1.0</v>
      </c>
      <c r="R753" s="465"/>
      <c r="S753" s="466">
        <f>IF(ISTEXT($V753), "TBD", RANK(V753,$V747:$V753))</f>
        <v>3</v>
      </c>
      <c r="T753" s="467">
        <v>1.0</v>
      </c>
      <c r="U753" s="468" t="b">
        <f>Rankings!$S753=Rankings!$T753</f>
        <v>0</v>
      </c>
      <c r="V753" s="553">
        <f>IF(ISTEXT(Rankings!F753), "TBD", (RANK($F753,$F747:$F753) + IF(ISTEXT($H753), 0, (RANK($H753,$H747:$H753)/10)) + (RANK($G753,$G747:$G753)/100)))</f>
        <v>4.23</v>
      </c>
      <c r="W753" s="208"/>
    </row>
    <row r="754" ht="15.75" customHeight="1">
      <c r="A754" s="103">
        <v>46162.0</v>
      </c>
      <c r="B754" s="453"/>
      <c r="C754" s="454" t="str">
        <f t="array" ref="C754">INDEX(Rankings!$E754:$E760, MATCH(1, (Rankings!$D754:$D760=$A754)*(Rankings!$U754:$U760=TRUE()), 0))</f>
        <v>Flocco</v>
      </c>
      <c r="D754" s="551">
        <f>A754</f>
        <v>46162</v>
      </c>
      <c r="E754" s="455" t="str">
        <f>$K$1</f>
        <v>Logan</v>
      </c>
      <c r="F754" s="400">
        <f>IFERROR(AVERAGE(Rankings!$K754:$R754), "TBD")</f>
        <v>2.833333333</v>
      </c>
      <c r="G754" s="400">
        <f>IFERROR(_xlfn.STDEV.P(Rankings!$K754:$R754), "TBD")</f>
        <v>1.863389981</v>
      </c>
      <c r="H754" s="400">
        <f>IFERROR(AVERAGE(Rankings!$L754:$R754), "TBD")</f>
        <v>3.2</v>
      </c>
      <c r="I754" s="421" t="s">
        <v>1771</v>
      </c>
      <c r="J754" s="421" t="s">
        <v>1772</v>
      </c>
      <c r="K754" s="422">
        <v>1.0</v>
      </c>
      <c r="L754" s="423">
        <v>1.0</v>
      </c>
      <c r="M754" s="423">
        <v>4.0</v>
      </c>
      <c r="N754" s="552"/>
      <c r="O754" s="423">
        <v>5.0</v>
      </c>
      <c r="P754" s="423">
        <v>5.0</v>
      </c>
      <c r="Q754" s="456">
        <v>1.0</v>
      </c>
      <c r="R754" s="457"/>
      <c r="S754" s="458">
        <f>IF(ISTEXT($V754), "TBD", RANK(V754,$V754:$V760))</f>
        <v>2</v>
      </c>
      <c r="T754" s="459">
        <v>1.0</v>
      </c>
      <c r="U754" s="460" t="b">
        <f>Rankings!$S754=Rankings!$T754</f>
        <v>0</v>
      </c>
      <c r="V754" s="553">
        <f>IF(ISTEXT(Rankings!F754), "TBD", (RANK($F754,$F754:$F760) + IF(ISTEXT($H754), 0, (RANK($H754,$H754:$H760)/10)) + (RANK($G754,$G754:$G760)/100)))</f>
        <v>5.52</v>
      </c>
      <c r="W754" s="567"/>
    </row>
    <row r="755" ht="15.75" customHeight="1">
      <c r="A755" s="134"/>
      <c r="B755" s="134"/>
      <c r="C755" s="134"/>
      <c r="D755" s="554">
        <f>D754</f>
        <v>46162</v>
      </c>
      <c r="E755" s="463" t="str">
        <f>$L$1</f>
        <v>Parker</v>
      </c>
      <c r="F755" s="404">
        <f>IFERROR(AVERAGE(Rankings!$K755:$R755), "TBD")</f>
        <v>3.5</v>
      </c>
      <c r="G755" s="404">
        <f>IFERROR(_xlfn.STDEV.P(Rankings!$K755:$R755), "TBD")</f>
        <v>1.5</v>
      </c>
      <c r="H755" s="404">
        <f>IFERROR(AVERAGE(Rankings!$K755, Rankings!$M755:$R755), "TBD")</f>
        <v>3.8</v>
      </c>
      <c r="I755" s="429" t="s">
        <v>1773</v>
      </c>
      <c r="J755" s="429" t="s">
        <v>1774</v>
      </c>
      <c r="K755" s="430">
        <v>4.0</v>
      </c>
      <c r="L755" s="431">
        <v>2.0</v>
      </c>
      <c r="M755" s="431">
        <v>5.0</v>
      </c>
      <c r="N755" s="555"/>
      <c r="O755" s="431">
        <v>4.0</v>
      </c>
      <c r="P755" s="431">
        <v>1.0</v>
      </c>
      <c r="Q755" s="464">
        <v>5.0</v>
      </c>
      <c r="R755" s="465"/>
      <c r="S755" s="466">
        <f>IF(ISTEXT($V755), "TBD", RANK(V755,$V754:$V760))</f>
        <v>3</v>
      </c>
      <c r="T755" s="467">
        <v>1.0</v>
      </c>
      <c r="U755" s="468" t="b">
        <f>Rankings!$S755=Rankings!$T755</f>
        <v>0</v>
      </c>
      <c r="V755" s="553">
        <f>IF(ISTEXT(Rankings!F755), "TBD", (RANK($F755,$F754:$F760) + IF(ISTEXT($H755), 0, (RANK($H755,$H754:$H760)/10)) + (RANK($G755,$G754:$G760)/100)))</f>
        <v>4.34</v>
      </c>
      <c r="W755" s="153"/>
    </row>
    <row r="756" ht="15.75" customHeight="1">
      <c r="A756" s="134"/>
      <c r="B756" s="134"/>
      <c r="C756" s="134"/>
      <c r="D756" s="556">
        <f>D754</f>
        <v>46162</v>
      </c>
      <c r="E756" s="469" t="str">
        <f>$M$1</f>
        <v>Giacomo</v>
      </c>
      <c r="F756" s="408">
        <f>IFERROR(AVERAGE(Rankings!$K756:$R756), "TBD")</f>
        <v>4.333333333</v>
      </c>
      <c r="G756" s="408">
        <f>IFERROR(_xlfn.STDEV.P(Rankings!$K756:$R756), "TBD")</f>
        <v>1.699673171</v>
      </c>
      <c r="H756" s="408">
        <f>IFERROR(AVERAGE(Rankings!$K756:$L756, Rankings!$N756:$R756), "TBD")</f>
        <v>5</v>
      </c>
      <c r="I756" s="437" t="s">
        <v>1775</v>
      </c>
      <c r="J756" s="437" t="s">
        <v>1776</v>
      </c>
      <c r="K756" s="430">
        <v>5.0</v>
      </c>
      <c r="L756" s="431">
        <v>4.0</v>
      </c>
      <c r="M756" s="431">
        <v>1.0</v>
      </c>
      <c r="N756" s="555"/>
      <c r="O756" s="431">
        <v>6.0</v>
      </c>
      <c r="P756" s="431">
        <v>4.0</v>
      </c>
      <c r="Q756" s="464">
        <v>6.0</v>
      </c>
      <c r="R756" s="465"/>
      <c r="S756" s="466">
        <f>IF(ISTEXT($V756), "TBD", RANK(V756,$V754:$V760))</f>
        <v>6</v>
      </c>
      <c r="T756" s="467">
        <v>1.0</v>
      </c>
      <c r="U756" s="468" t="b">
        <f>Rankings!$S756=Rankings!$T756</f>
        <v>0</v>
      </c>
      <c r="V756" s="553">
        <f>IF(ISTEXT(Rankings!F756), "TBD", (RANK($F756,$F754:$F760) + IF(ISTEXT($H756), 0, (RANK($H756,$H754:$H760)/10)) + (RANK($G756,$G754:$G760)/100)))</f>
        <v>1.13</v>
      </c>
      <c r="W756" s="153"/>
    </row>
    <row r="757" ht="15.75" customHeight="1">
      <c r="A757" s="134"/>
      <c r="B757" s="134"/>
      <c r="C757" s="134"/>
      <c r="D757" s="557">
        <f>D754</f>
        <v>46162</v>
      </c>
      <c r="E757" s="470" t="str">
        <f>$N$1</f>
        <v>Rosey</v>
      </c>
      <c r="F757" s="411" t="str">
        <f>IFERROR(AVERAGE(Rankings!$K757:$R757), "TBD")</f>
        <v>TBD</v>
      </c>
      <c r="G757" s="411" t="str">
        <f>IFERROR(_xlfn.STDEV.P(Rankings!$K757:$R757), "TBD")</f>
        <v>TBD</v>
      </c>
      <c r="H757" s="411" t="str">
        <f>IFERROR(AVERAGE(Rankings!$K757:$M757, Rankings!$O757:$R757), "TBD")</f>
        <v>TBD</v>
      </c>
      <c r="I757" s="568"/>
      <c r="J757" s="568"/>
      <c r="K757" s="565"/>
      <c r="L757" s="566"/>
      <c r="M757" s="431" t="s">
        <v>1777</v>
      </c>
      <c r="N757" s="555"/>
      <c r="O757" s="431" t="s">
        <v>1697</v>
      </c>
      <c r="P757" s="431" t="s">
        <v>1698</v>
      </c>
      <c r="Q757" s="464" t="s">
        <v>1766</v>
      </c>
      <c r="R757" s="465"/>
      <c r="S757" s="466" t="str">
        <f>IF(ISTEXT($V757), "TBD", RANK(V757,$V754:$V760))</f>
        <v>TBD</v>
      </c>
      <c r="T757" s="467">
        <v>1.0</v>
      </c>
      <c r="U757" s="468" t="b">
        <f>Rankings!$S757=Rankings!$T757</f>
        <v>0</v>
      </c>
      <c r="V757" s="553" t="str">
        <f>IF(ISTEXT(Rankings!F757), "TBD", (RANK($F757,$F754:$F760) + IF(ISTEXT($H757), 0, (RANK($H757,$H754:$H760)/10)) + (RANK($G757,$G754:$G760)/100)))</f>
        <v>TBD</v>
      </c>
      <c r="W757" s="153"/>
    </row>
    <row r="758" ht="15.75" customHeight="1">
      <c r="A758" s="134"/>
      <c r="B758" s="134"/>
      <c r="C758" s="134"/>
      <c r="D758" s="561">
        <f t="shared" ref="D758:D760" si="110">D754</f>
        <v>46162</v>
      </c>
      <c r="E758" s="471" t="str">
        <f>$O$1</f>
        <v>TTAC</v>
      </c>
      <c r="F758" s="414">
        <f>IFERROR(AVERAGE(Rankings!$K758:$R758), "TBD")</f>
        <v>3.666666667</v>
      </c>
      <c r="G758" s="414">
        <f>IFERROR(_xlfn.STDEV.P(Rankings!$K758:$R758), "TBD")</f>
        <v>1.105541597</v>
      </c>
      <c r="H758" s="414">
        <f>IFERROR(AVERAGE(Rankings!$K758:$N758, Rankings!$P758:$R758), "TBD")</f>
        <v>3.8</v>
      </c>
      <c r="I758" s="439" t="s">
        <v>1778</v>
      </c>
      <c r="J758" s="439" t="s">
        <v>1779</v>
      </c>
      <c r="K758" s="430">
        <v>3.0</v>
      </c>
      <c r="L758" s="431">
        <v>3.0</v>
      </c>
      <c r="M758" s="431">
        <v>3.0</v>
      </c>
      <c r="N758" s="555"/>
      <c r="O758" s="431">
        <v>3.0</v>
      </c>
      <c r="P758" s="431">
        <v>6.0</v>
      </c>
      <c r="Q758" s="464">
        <v>4.0</v>
      </c>
      <c r="R758" s="465"/>
      <c r="S758" s="466">
        <f>IF(ISTEXT($V758), "TBD", RANK(V758,$V754:$V760))</f>
        <v>4</v>
      </c>
      <c r="T758" s="467">
        <v>1.0</v>
      </c>
      <c r="U758" s="468" t="b">
        <f>Rankings!$S758=Rankings!$T758</f>
        <v>0</v>
      </c>
      <c r="V758" s="553">
        <f>IF(ISTEXT(Rankings!F758), "TBD", (RANK($F758,$F754:$F760) + IF(ISTEXT($H758), 0, (RANK($H758,$H754:$H760)/10)) + (RANK($G758,$G754:$G760)/100)))</f>
        <v>3.35</v>
      </c>
      <c r="W758" s="153"/>
    </row>
    <row r="759" ht="15.75" customHeight="1">
      <c r="A759" s="134"/>
      <c r="B759" s="134"/>
      <c r="C759" s="134"/>
      <c r="D759" s="562">
        <f t="shared" si="110"/>
        <v>46162</v>
      </c>
      <c r="E759" s="472" t="str">
        <f>$P$1</f>
        <v>Weston</v>
      </c>
      <c r="F759" s="418">
        <f>IFERROR(AVERAGE(Rankings!$K759:$R759), "TBD")</f>
        <v>4</v>
      </c>
      <c r="G759" s="418">
        <f>IFERROR(_xlfn.STDEV.P(Rankings!$K759:$R759), "TBD")</f>
        <v>2.081665999</v>
      </c>
      <c r="H759" s="418">
        <f>IFERROR(AVERAGE(Rankings!$K759:$O759, Rankings!$Q759:$R759), "TBD")</f>
        <v>4.4</v>
      </c>
      <c r="I759" s="440" t="s">
        <v>1780</v>
      </c>
      <c r="J759" s="440" t="s">
        <v>1781</v>
      </c>
      <c r="K759" s="430">
        <v>6.0</v>
      </c>
      <c r="L759" s="431">
        <v>6.0</v>
      </c>
      <c r="M759" s="431">
        <v>6.0</v>
      </c>
      <c r="N759" s="555"/>
      <c r="O759" s="431">
        <v>1.0</v>
      </c>
      <c r="P759" s="431">
        <v>2.0</v>
      </c>
      <c r="Q759" s="464">
        <v>3.0</v>
      </c>
      <c r="R759" s="465"/>
      <c r="S759" s="466">
        <f>IF(ISTEXT($V759), "TBD", RANK(V759,$V754:$V760))</f>
        <v>5</v>
      </c>
      <c r="T759" s="467">
        <v>1.0</v>
      </c>
      <c r="U759" s="468" t="b">
        <f>Rankings!$S759=Rankings!$T759</f>
        <v>0</v>
      </c>
      <c r="V759" s="553">
        <f>IF(ISTEXT(Rankings!F759), "TBD", (RANK($F759,$F754:$F760) + IF(ISTEXT($H759), 0, (RANK($H759,$H754:$H760)/10)) + (RANK($G759,$G754:$G760)/100)))</f>
        <v>2.21</v>
      </c>
      <c r="W759" s="153"/>
    </row>
    <row r="760" ht="15.75" customHeight="1">
      <c r="A760" s="189"/>
      <c r="B760" s="189"/>
      <c r="C760" s="189"/>
      <c r="D760" s="563">
        <f t="shared" si="110"/>
        <v>46162</v>
      </c>
      <c r="E760" s="131" t="str">
        <f>$Q$1</f>
        <v>Flocco</v>
      </c>
      <c r="F760" s="474">
        <f>IFERROR(AVERAGE(Rankings!$K760:$R760), "TBD")</f>
        <v>2.666666667</v>
      </c>
      <c r="G760" s="474">
        <f>IFERROR(_xlfn.STDEV.P(Rankings!$K760:$R760), "TBD")</f>
        <v>1.105541597</v>
      </c>
      <c r="H760" s="474">
        <f>IFERROR(AVERAGE(Rankings!$K760:$P760, Rankings!$R760), "TBD")</f>
        <v>2.8</v>
      </c>
      <c r="I760" s="475" t="s">
        <v>1782</v>
      </c>
      <c r="J760" s="475" t="s">
        <v>1783</v>
      </c>
      <c r="K760" s="430">
        <v>2.0</v>
      </c>
      <c r="L760" s="431">
        <v>5.0</v>
      </c>
      <c r="M760" s="431">
        <v>2.0</v>
      </c>
      <c r="N760" s="555"/>
      <c r="O760" s="431">
        <v>2.0</v>
      </c>
      <c r="P760" s="431">
        <v>3.0</v>
      </c>
      <c r="Q760" s="464">
        <v>2.0</v>
      </c>
      <c r="R760" s="465"/>
      <c r="S760" s="466">
        <f>IF(ISTEXT($V760), "TBD", RANK(V760,$V754:$V760))</f>
        <v>1</v>
      </c>
      <c r="T760" s="467">
        <v>1.0</v>
      </c>
      <c r="U760" s="468" t="b">
        <f>Rankings!$S760=Rankings!$T760</f>
        <v>1</v>
      </c>
      <c r="V760" s="553">
        <f>IF(ISTEXT(Rankings!F760), "TBD", (RANK($F760,$F754:$F760) + IF(ISTEXT($H760), 0, (RANK($H760,$H754:$H760)/10)) + (RANK($G760,$G754:$G760)/100)))</f>
        <v>6.65</v>
      </c>
      <c r="W760" s="208"/>
    </row>
    <row r="761" ht="15.75" customHeight="1">
      <c r="A761" s="103">
        <v>46164.0</v>
      </c>
      <c r="B761" s="453"/>
      <c r="C761" s="454" t="str">
        <f t="array" ref="C761">INDEX(Rankings!$E761:$E767, MATCH(1, (Rankings!$D761:$D767=$A761)*(Rankings!$U761:$U767=TRUE()), 0))</f>
        <v>Weston</v>
      </c>
      <c r="D761" s="551">
        <f>A761</f>
        <v>46164</v>
      </c>
      <c r="E761" s="455" t="str">
        <f>$K$1</f>
        <v>Logan</v>
      </c>
      <c r="F761" s="400">
        <f>IFERROR(AVERAGE(Rankings!$K761:$R761), "TBD")</f>
        <v>2.333333333</v>
      </c>
      <c r="G761" s="400">
        <f>IFERROR(_xlfn.STDEV.P(Rankings!$K761:$R761), "TBD")</f>
        <v>1.105541597</v>
      </c>
      <c r="H761" s="400">
        <f>IFERROR(AVERAGE(Rankings!$L761:$R761), "TBD")</f>
        <v>2.6</v>
      </c>
      <c r="I761" s="421" t="s">
        <v>1784</v>
      </c>
      <c r="J761" s="421" t="s">
        <v>1785</v>
      </c>
      <c r="K761" s="422">
        <v>1.0</v>
      </c>
      <c r="L761" s="423">
        <v>3.0</v>
      </c>
      <c r="M761" s="423">
        <v>4.0</v>
      </c>
      <c r="N761" s="555"/>
      <c r="O761" s="423">
        <v>1.0</v>
      </c>
      <c r="P761" s="423">
        <v>3.0</v>
      </c>
      <c r="Q761" s="456">
        <v>2.0</v>
      </c>
      <c r="R761" s="457"/>
      <c r="S761" s="458">
        <f>IF(ISTEXT($V761), "TBD", RANK(V761,$V761:$V767))</f>
        <v>2</v>
      </c>
      <c r="T761" s="459">
        <v>1.0</v>
      </c>
      <c r="U761" s="460" t="b">
        <f>Rankings!$S761=Rankings!$T761</f>
        <v>0</v>
      </c>
      <c r="V761" s="553">
        <f>IF(ISTEXT(Rankings!F761), "TBD", (RANK($F761,$F761:$F767) + IF(ISTEXT($H761), 0, (RANK($H761,$H761:$H767)/10)) + (RANK($G761,$G761:$G767)/100)))</f>
        <v>5.54</v>
      </c>
      <c r="W761" s="567"/>
    </row>
    <row r="762" ht="15.75" customHeight="1">
      <c r="A762" s="134"/>
      <c r="B762" s="134"/>
      <c r="C762" s="134"/>
      <c r="D762" s="554">
        <f>D761</f>
        <v>46164</v>
      </c>
      <c r="E762" s="463" t="str">
        <f>$L$1</f>
        <v>Parker</v>
      </c>
      <c r="F762" s="404">
        <f>IFERROR(AVERAGE(Rankings!$K762:$R762), "TBD")</f>
        <v>3.333333333</v>
      </c>
      <c r="G762" s="404">
        <f>IFERROR(_xlfn.STDEV.P(Rankings!$K762:$R762), "TBD")</f>
        <v>1.105541597</v>
      </c>
      <c r="H762" s="404">
        <f>IFERROR(AVERAGE(Rankings!$K762, Rankings!$M762:$R762), "TBD")</f>
        <v>3.6</v>
      </c>
      <c r="I762" s="429" t="s">
        <v>1786</v>
      </c>
      <c r="J762" s="429" t="s">
        <v>1787</v>
      </c>
      <c r="K762" s="430">
        <v>5.0</v>
      </c>
      <c r="L762" s="431">
        <v>2.0</v>
      </c>
      <c r="M762" s="431">
        <v>3.0</v>
      </c>
      <c r="N762" s="555"/>
      <c r="O762" s="431">
        <v>4.0</v>
      </c>
      <c r="P762" s="431">
        <v>2.0</v>
      </c>
      <c r="Q762" s="464">
        <v>4.0</v>
      </c>
      <c r="R762" s="465"/>
      <c r="S762" s="466">
        <f>IF(ISTEXT($V762), "TBD", RANK(V762,$V761:$V767))</f>
        <v>3</v>
      </c>
      <c r="T762" s="467">
        <v>1.0</v>
      </c>
      <c r="U762" s="468" t="b">
        <f>Rankings!$S762=Rankings!$T762</f>
        <v>0</v>
      </c>
      <c r="V762" s="553">
        <f>IF(ISTEXT(Rankings!F762), "TBD", (RANK($F762,$F761:$F767) + IF(ISTEXT($H762), 0, (RANK($H762,$H761:$H767)/10)) + (RANK($G762,$G761:$G767)/100)))</f>
        <v>4.43</v>
      </c>
      <c r="W762" s="153"/>
    </row>
    <row r="763" ht="15.75" customHeight="1">
      <c r="A763" s="134"/>
      <c r="B763" s="134"/>
      <c r="C763" s="134"/>
      <c r="D763" s="556">
        <f>D761</f>
        <v>46164</v>
      </c>
      <c r="E763" s="469" t="str">
        <f>$M$1</f>
        <v>Giacomo</v>
      </c>
      <c r="F763" s="408">
        <f>IFERROR(AVERAGE(Rankings!$K763:$R763), "TBD")</f>
        <v>4.333333333</v>
      </c>
      <c r="G763" s="408">
        <f>IFERROR(_xlfn.STDEV.P(Rankings!$K763:$R763), "TBD")</f>
        <v>1.374368542</v>
      </c>
      <c r="H763" s="408">
        <f>IFERROR(AVERAGE(Rankings!$K763:$L763, Rankings!$N763:$R763), "TBD")</f>
        <v>4.8</v>
      </c>
      <c r="I763" s="437" t="s">
        <v>1788</v>
      </c>
      <c r="J763" s="437" t="s">
        <v>1010</v>
      </c>
      <c r="K763" s="430">
        <v>3.0</v>
      </c>
      <c r="L763" s="431">
        <v>5.0</v>
      </c>
      <c r="M763" s="431">
        <v>2.0</v>
      </c>
      <c r="N763" s="555"/>
      <c r="O763" s="431">
        <v>5.0</v>
      </c>
      <c r="P763" s="431">
        <v>5.0</v>
      </c>
      <c r="Q763" s="464">
        <v>6.0</v>
      </c>
      <c r="R763" s="465"/>
      <c r="S763" s="466">
        <f>IF(ISTEXT($V763), "TBD", RANK(V763,$V761:$V767))</f>
        <v>5</v>
      </c>
      <c r="T763" s="467">
        <v>1.0</v>
      </c>
      <c r="U763" s="468" t="b">
        <f>Rankings!$S763=Rankings!$T763</f>
        <v>0</v>
      </c>
      <c r="V763" s="553">
        <f>IF(ISTEXT(Rankings!F763), "TBD", (RANK($F763,$F761:$F767) + IF(ISTEXT($H763), 0, (RANK($H763,$H761:$H767)/10)) + (RANK($G763,$G761:$G767)/100)))</f>
        <v>2.21</v>
      </c>
      <c r="W763" s="153"/>
    </row>
    <row r="764" ht="15.75" customHeight="1">
      <c r="A764" s="134"/>
      <c r="B764" s="134"/>
      <c r="C764" s="134"/>
      <c r="D764" s="557">
        <f>D761</f>
        <v>46164</v>
      </c>
      <c r="E764" s="470" t="str">
        <f>$N$1</f>
        <v>Rosey</v>
      </c>
      <c r="F764" s="411" t="str">
        <f>IFERROR(AVERAGE(Rankings!$K764:$R764), "TBD")</f>
        <v>TBD</v>
      </c>
      <c r="G764" s="411" t="str">
        <f>IFERROR(_xlfn.STDEV.P(Rankings!$K764:$R764), "TBD")</f>
        <v>TBD</v>
      </c>
      <c r="H764" s="411" t="str">
        <f>IFERROR(AVERAGE(Rankings!$K764:$M764, Rankings!$O764:$R764), "TBD")</f>
        <v>TBD</v>
      </c>
      <c r="I764" s="568"/>
      <c r="J764" s="568"/>
      <c r="K764" s="565"/>
      <c r="L764" s="566"/>
      <c r="M764" s="431" t="s">
        <v>1789</v>
      </c>
      <c r="N764" s="555"/>
      <c r="O764" s="431" t="s">
        <v>1697</v>
      </c>
      <c r="P764" s="431" t="s">
        <v>1698</v>
      </c>
      <c r="Q764" s="464" t="s">
        <v>1766</v>
      </c>
      <c r="R764" s="465"/>
      <c r="S764" s="466" t="str">
        <f>IF(ISTEXT($V764), "TBD", RANK(V764,$V761:$V767))</f>
        <v>TBD</v>
      </c>
      <c r="T764" s="467">
        <v>1.0</v>
      </c>
      <c r="U764" s="468" t="b">
        <f>Rankings!$S764=Rankings!$T764</f>
        <v>0</v>
      </c>
      <c r="V764" s="553" t="str">
        <f>IF(ISTEXT(Rankings!F764), "TBD", (RANK($F764,$F761:$F767) + IF(ISTEXT($H764), 0, (RANK($H764,$H761:$H767)/10)) + (RANK($G764,$G761:$G767)/100)))</f>
        <v>TBD</v>
      </c>
      <c r="W764" s="153"/>
    </row>
    <row r="765" ht="15.75" customHeight="1">
      <c r="A765" s="134"/>
      <c r="B765" s="134"/>
      <c r="C765" s="134"/>
      <c r="D765" s="561">
        <f t="shared" ref="D765:D767" si="111">D761</f>
        <v>46164</v>
      </c>
      <c r="E765" s="471" t="str">
        <f>$O$1</f>
        <v>TTAC</v>
      </c>
      <c r="F765" s="414">
        <f>IFERROR(AVERAGE(Rankings!$K765:$R765), "TBD")</f>
        <v>4</v>
      </c>
      <c r="G765" s="414">
        <f>IFERROR(_xlfn.STDEV.P(Rankings!$K765:$R765), "TBD")</f>
        <v>1</v>
      </c>
      <c r="H765" s="414">
        <f>IFERROR(AVERAGE(Rankings!$K765:$N765, Rankings!$P765:$R765), "TBD")</f>
        <v>4.4</v>
      </c>
      <c r="I765" s="439" t="s">
        <v>1790</v>
      </c>
      <c r="J765" s="439" t="s">
        <v>1791</v>
      </c>
      <c r="K765" s="430">
        <v>4.0</v>
      </c>
      <c r="L765" s="431">
        <v>4.0</v>
      </c>
      <c r="M765" s="431">
        <v>5.0</v>
      </c>
      <c r="N765" s="555"/>
      <c r="O765" s="431">
        <v>2.0</v>
      </c>
      <c r="P765" s="431">
        <v>4.0</v>
      </c>
      <c r="Q765" s="464">
        <v>5.0</v>
      </c>
      <c r="R765" s="465"/>
      <c r="S765" s="466">
        <f>IF(ISTEXT($V765), "TBD", RANK(V765,$V761:$V767))</f>
        <v>4</v>
      </c>
      <c r="T765" s="467">
        <v>1.0</v>
      </c>
      <c r="U765" s="468" t="b">
        <f>Rankings!$S765=Rankings!$T765</f>
        <v>0</v>
      </c>
      <c r="V765" s="553">
        <f>IF(ISTEXT(Rankings!F765), "TBD", (RANK($F765,$F761:$F767) + IF(ISTEXT($H765), 0, (RANK($H765,$H761:$H767)/10)) + (RANK($G765,$G761:$G767)/100)))</f>
        <v>3.35</v>
      </c>
      <c r="W765" s="153"/>
    </row>
    <row r="766" ht="15.75" customHeight="1">
      <c r="A766" s="134"/>
      <c r="B766" s="134"/>
      <c r="C766" s="134"/>
      <c r="D766" s="562">
        <f t="shared" si="111"/>
        <v>46164</v>
      </c>
      <c r="E766" s="472" t="str">
        <f>$P$1</f>
        <v>Weston</v>
      </c>
      <c r="F766" s="418">
        <f>IFERROR(AVERAGE(Rankings!$K766:$R766), "TBD")</f>
        <v>1.5</v>
      </c>
      <c r="G766" s="418">
        <f>IFERROR(_xlfn.STDEV.P(Rankings!$K766:$R766), "TBD")</f>
        <v>0.7637626158</v>
      </c>
      <c r="H766" s="418">
        <f>IFERROR(AVERAGE(Rankings!$K766:$O766, Rankings!$Q766:$R766), "TBD")</f>
        <v>1.6</v>
      </c>
      <c r="I766" s="440" t="s">
        <v>1792</v>
      </c>
      <c r="J766" s="440" t="s">
        <v>1793</v>
      </c>
      <c r="K766" s="430">
        <v>2.0</v>
      </c>
      <c r="L766" s="431">
        <v>1.0</v>
      </c>
      <c r="M766" s="431">
        <v>1.0</v>
      </c>
      <c r="N766" s="555"/>
      <c r="O766" s="431">
        <v>3.0</v>
      </c>
      <c r="P766" s="431">
        <v>1.0</v>
      </c>
      <c r="Q766" s="464">
        <v>1.0</v>
      </c>
      <c r="R766" s="465"/>
      <c r="S766" s="466">
        <f>IF(ISTEXT($V766), "TBD", RANK(V766,$V761:$V767))</f>
        <v>1</v>
      </c>
      <c r="T766" s="467">
        <v>1.0</v>
      </c>
      <c r="U766" s="468" t="b">
        <f>Rankings!$S766=Rankings!$T766</f>
        <v>1</v>
      </c>
      <c r="V766" s="553">
        <f>IF(ISTEXT(Rankings!F766), "TBD", (RANK($F766,$F761:$F767) + IF(ISTEXT($H766), 0, (RANK($H766,$H761:$H767)/10)) + (RANK($G766,$G761:$G767)/100)))</f>
        <v>6.66</v>
      </c>
      <c r="W766" s="153"/>
    </row>
    <row r="767" ht="15.75" customHeight="1">
      <c r="A767" s="189"/>
      <c r="B767" s="189"/>
      <c r="C767" s="189"/>
      <c r="D767" s="563">
        <f t="shared" si="111"/>
        <v>46164</v>
      </c>
      <c r="E767" s="131" t="str">
        <f>$Q$1</f>
        <v>Flocco</v>
      </c>
      <c r="F767" s="474">
        <f>IFERROR(AVERAGE(Rankings!$K767:$R767), "TBD")</f>
        <v>5.5</v>
      </c>
      <c r="G767" s="474">
        <f>IFERROR(_xlfn.STDEV.P(Rankings!$K767:$R767), "TBD")</f>
        <v>1.118033989</v>
      </c>
      <c r="H767" s="474">
        <f>IFERROR(AVERAGE(Rankings!$K767:$P767, Rankings!$R767), "TBD")</f>
        <v>6</v>
      </c>
      <c r="I767" s="475" t="s">
        <v>1794</v>
      </c>
      <c r="J767" s="475" t="s">
        <v>1795</v>
      </c>
      <c r="K767" s="430">
        <v>6.0</v>
      </c>
      <c r="L767" s="431">
        <v>6.0</v>
      </c>
      <c r="M767" s="431">
        <v>6.0</v>
      </c>
      <c r="N767" s="555"/>
      <c r="O767" s="431">
        <v>6.0</v>
      </c>
      <c r="P767" s="431">
        <v>6.0</v>
      </c>
      <c r="Q767" s="464">
        <v>3.0</v>
      </c>
      <c r="R767" s="465"/>
      <c r="S767" s="466">
        <f>IF(ISTEXT($V767), "TBD", RANK(V767,$V761:$V767))</f>
        <v>6</v>
      </c>
      <c r="T767" s="467">
        <v>1.0</v>
      </c>
      <c r="U767" s="468" t="b">
        <f>Rankings!$S767=Rankings!$T767</f>
        <v>0</v>
      </c>
      <c r="V767" s="553">
        <f>IF(ISTEXT(Rankings!F767), "TBD", (RANK($F767,$F761:$F767) + IF(ISTEXT($H767), 0, (RANK($H767,$H761:$H767)/10)) + (RANK($G767,$G761:$G767)/100)))</f>
        <v>1.12</v>
      </c>
      <c r="W767" s="208"/>
    </row>
    <row r="768" ht="15.75" customHeight="1">
      <c r="A768" s="103">
        <v>46167.0</v>
      </c>
      <c r="B768" s="453"/>
      <c r="C768" s="454" t="str">
        <f t="array" ref="C768">INDEX(Rankings!$E768:$E774, MATCH(1, (Rankings!$D768:$D774=$A768)*(Rankings!$U768:$U774=TRUE()), 0))</f>
        <v>Giacomo</v>
      </c>
      <c r="D768" s="551">
        <f>A768</f>
        <v>46167</v>
      </c>
      <c r="E768" s="455" t="str">
        <f>$K$1</f>
        <v>Logan</v>
      </c>
      <c r="F768" s="400">
        <f>IFERROR(AVERAGE(Rankings!$K768:$R768), "TBD")</f>
        <v>3.166666667</v>
      </c>
      <c r="G768" s="400">
        <f>IFERROR(_xlfn.STDEV.P(Rankings!$K768:$R768), "TBD")</f>
        <v>1.572330189</v>
      </c>
      <c r="H768" s="400">
        <f>IFERROR(AVERAGE(Rankings!$L768:$R768), "TBD")</f>
        <v>3.4</v>
      </c>
      <c r="I768" s="421" t="s">
        <v>1796</v>
      </c>
      <c r="J768" s="421" t="s">
        <v>1797</v>
      </c>
      <c r="K768" s="422">
        <v>2.0</v>
      </c>
      <c r="L768" s="423">
        <v>3.0</v>
      </c>
      <c r="M768" s="423">
        <v>3.0</v>
      </c>
      <c r="N768" s="555"/>
      <c r="O768" s="423">
        <v>4.0</v>
      </c>
      <c r="P768" s="423">
        <v>1.0</v>
      </c>
      <c r="Q768" s="456">
        <v>6.0</v>
      </c>
      <c r="R768" s="457"/>
      <c r="S768" s="458">
        <f>IF(ISTEXT($V768), "TBD", RANK(V768,$V768:$V774))</f>
        <v>3</v>
      </c>
      <c r="T768" s="459">
        <v>1.0</v>
      </c>
      <c r="U768" s="460" t="b">
        <f>Rankings!$S768=Rankings!$T768</f>
        <v>0</v>
      </c>
      <c r="V768" s="553">
        <f>IF(ISTEXT(Rankings!F768), "TBD", (RANK($F768,$F768:$F774) + IF(ISTEXT($H768), 0, (RANK($H768,$H768:$H774)/10)) + (RANK($G768,$G768:$G774)/100)))</f>
        <v>4.33</v>
      </c>
      <c r="W768" s="567"/>
    </row>
    <row r="769" ht="15.75" customHeight="1">
      <c r="A769" s="134"/>
      <c r="B769" s="134"/>
      <c r="C769" s="134"/>
      <c r="D769" s="554">
        <f>D768</f>
        <v>46167</v>
      </c>
      <c r="E769" s="463" t="str">
        <f>$L$1</f>
        <v>Parker</v>
      </c>
      <c r="F769" s="404">
        <f>IFERROR(AVERAGE(Rankings!$K769:$R769), "TBD")</f>
        <v>3.5</v>
      </c>
      <c r="G769" s="404">
        <f>IFERROR(_xlfn.STDEV.P(Rankings!$K769:$R769), "TBD")</f>
        <v>0.9574271078</v>
      </c>
      <c r="H769" s="404">
        <f>IFERROR(AVERAGE(Rankings!$K769, Rankings!$M769:$R769), "TBD")</f>
        <v>3.4</v>
      </c>
      <c r="I769" s="429" t="s">
        <v>1798</v>
      </c>
      <c r="J769" s="429" t="s">
        <v>1799</v>
      </c>
      <c r="K769" s="430">
        <v>5.0</v>
      </c>
      <c r="L769" s="431">
        <v>4.0</v>
      </c>
      <c r="M769" s="431">
        <v>2.0</v>
      </c>
      <c r="N769" s="555"/>
      <c r="O769" s="431">
        <v>3.0</v>
      </c>
      <c r="P769" s="431">
        <v>4.0</v>
      </c>
      <c r="Q769" s="464">
        <v>3.0</v>
      </c>
      <c r="R769" s="465"/>
      <c r="S769" s="466">
        <f>IF(ISTEXT($V769), "TBD", RANK(V769,$V768:$V774))</f>
        <v>4</v>
      </c>
      <c r="T769" s="467">
        <v>1.0</v>
      </c>
      <c r="U769" s="468" t="b">
        <f>Rankings!$S769=Rankings!$T769</f>
        <v>0</v>
      </c>
      <c r="V769" s="553">
        <f>IF(ISTEXT(Rankings!F769), "TBD", (RANK($F769,$F768:$F774) + IF(ISTEXT($H769), 0, (RANK($H769,$H768:$H774)/10)) + (RANK($G769,$G768:$G774)/100)))</f>
        <v>3.36</v>
      </c>
      <c r="W769" s="153"/>
    </row>
    <row r="770" ht="15.75" customHeight="1">
      <c r="A770" s="134"/>
      <c r="B770" s="134"/>
      <c r="C770" s="134"/>
      <c r="D770" s="556">
        <f>D768</f>
        <v>46167</v>
      </c>
      <c r="E770" s="469" t="str">
        <f>$M$1</f>
        <v>Giacomo</v>
      </c>
      <c r="F770" s="408">
        <f>IFERROR(AVERAGE(Rankings!$K770:$R770), "TBD")</f>
        <v>2.333333333</v>
      </c>
      <c r="G770" s="408">
        <f>IFERROR(_xlfn.STDEV.P(Rankings!$K770:$R770), "TBD")</f>
        <v>1.374368542</v>
      </c>
      <c r="H770" s="408">
        <f>IFERROR(AVERAGE(Rankings!$K770:$L770, Rankings!$N770:$R770), "TBD")</f>
        <v>2.6</v>
      </c>
      <c r="I770" s="437" t="s">
        <v>1800</v>
      </c>
      <c r="J770" s="437" t="s">
        <v>1801</v>
      </c>
      <c r="K770" s="430">
        <v>3.0</v>
      </c>
      <c r="L770" s="431">
        <v>1.0</v>
      </c>
      <c r="M770" s="431">
        <v>1.0</v>
      </c>
      <c r="N770" s="555"/>
      <c r="O770" s="431">
        <v>2.0</v>
      </c>
      <c r="P770" s="431">
        <v>2.0</v>
      </c>
      <c r="Q770" s="464">
        <v>5.0</v>
      </c>
      <c r="R770" s="465"/>
      <c r="S770" s="466">
        <f>IF(ISTEXT($V770), "TBD", RANK(V770,$V768:$V774))</f>
        <v>1</v>
      </c>
      <c r="T770" s="467">
        <v>1.0</v>
      </c>
      <c r="U770" s="468" t="b">
        <f>Rankings!$S770=Rankings!$T770</f>
        <v>1</v>
      </c>
      <c r="V770" s="553">
        <f>IF(ISTEXT(Rankings!F770), "TBD", (RANK($F770,$F768:$F774) + IF(ISTEXT($H770), 0, (RANK($H770,$H768:$H774)/10)) + (RANK($G770,$G768:$G774)/100)))</f>
        <v>6.64</v>
      </c>
      <c r="W770" s="153"/>
    </row>
    <row r="771" ht="15.75" customHeight="1">
      <c r="A771" s="134"/>
      <c r="B771" s="134"/>
      <c r="C771" s="134"/>
      <c r="D771" s="557">
        <f>D768</f>
        <v>46167</v>
      </c>
      <c r="E771" s="470" t="str">
        <f>$N$1</f>
        <v>Rosey</v>
      </c>
      <c r="F771" s="411" t="str">
        <f>IFERROR(AVERAGE(Rankings!$K771:$R771), "TBD")</f>
        <v>TBD</v>
      </c>
      <c r="G771" s="411" t="str">
        <f>IFERROR(_xlfn.STDEV.P(Rankings!$K771:$R771), "TBD")</f>
        <v>TBD</v>
      </c>
      <c r="H771" s="411" t="str">
        <f>IFERROR(AVERAGE(Rankings!$K771:$M771, Rankings!$O771:$R771), "TBD")</f>
        <v>TBD</v>
      </c>
      <c r="I771" s="568"/>
      <c r="J771" s="568"/>
      <c r="K771" s="565"/>
      <c r="L771" s="566"/>
      <c r="M771" s="431" t="s">
        <v>1802</v>
      </c>
      <c r="N771" s="555"/>
      <c r="O771" s="431" t="s">
        <v>1697</v>
      </c>
      <c r="P771" s="431" t="s">
        <v>1698</v>
      </c>
      <c r="Q771" s="464" t="s">
        <v>1766</v>
      </c>
      <c r="R771" s="465"/>
      <c r="S771" s="466" t="str">
        <f>IF(ISTEXT($V771), "TBD", RANK(V771,$V768:$V774))</f>
        <v>TBD</v>
      </c>
      <c r="T771" s="467">
        <v>1.0</v>
      </c>
      <c r="U771" s="468" t="b">
        <f>Rankings!$S771=Rankings!$T771</f>
        <v>0</v>
      </c>
      <c r="V771" s="553" t="str">
        <f>IF(ISTEXT(Rankings!F771), "TBD", (RANK($F771,$F768:$F774) + IF(ISTEXT($H771), 0, (RANK($H771,$H768:$H774)/10)) + (RANK($G771,$G768:$G774)/100)))</f>
        <v>TBD</v>
      </c>
      <c r="W771" s="153"/>
    </row>
    <row r="772" ht="15.75" customHeight="1">
      <c r="A772" s="134"/>
      <c r="B772" s="134"/>
      <c r="C772" s="134"/>
      <c r="D772" s="561">
        <f t="shared" ref="D772:D774" si="112">D768</f>
        <v>46167</v>
      </c>
      <c r="E772" s="471" t="str">
        <f>$O$1</f>
        <v>TTAC</v>
      </c>
      <c r="F772" s="414">
        <f>IFERROR(AVERAGE(Rankings!$K772:$R772), "TBD")</f>
        <v>4.833333333</v>
      </c>
      <c r="G772" s="414">
        <f>IFERROR(_xlfn.STDEV.P(Rankings!$K772:$R772), "TBD")</f>
        <v>1.863389981</v>
      </c>
      <c r="H772" s="414">
        <f>IFERROR(AVERAGE(Rankings!$K772:$N772, Rankings!$P772:$R772), "TBD")</f>
        <v>5.6</v>
      </c>
      <c r="I772" s="439" t="s">
        <v>1803</v>
      </c>
      <c r="J772" s="439" t="s">
        <v>1804</v>
      </c>
      <c r="K772" s="430">
        <v>6.0</v>
      </c>
      <c r="L772" s="431">
        <v>6.0</v>
      </c>
      <c r="M772" s="431">
        <v>6.0</v>
      </c>
      <c r="N772" s="555"/>
      <c r="O772" s="431">
        <v>1.0</v>
      </c>
      <c r="P772" s="431">
        <v>6.0</v>
      </c>
      <c r="Q772" s="464">
        <v>4.0</v>
      </c>
      <c r="R772" s="465"/>
      <c r="S772" s="466">
        <f>IF(ISTEXT($V772), "TBD", RANK(V772,$V768:$V774))</f>
        <v>6</v>
      </c>
      <c r="T772" s="467">
        <v>1.0</v>
      </c>
      <c r="U772" s="468" t="b">
        <f>Rankings!$S772=Rankings!$T772</f>
        <v>0</v>
      </c>
      <c r="V772" s="553">
        <f>IF(ISTEXT(Rankings!F772), "TBD", (RANK($F772,$F768:$F774) + IF(ISTEXT($H772), 0, (RANK($H772,$H768:$H774)/10)) + (RANK($G772,$G768:$G774)/100)))</f>
        <v>1.11</v>
      </c>
      <c r="W772" s="153"/>
    </row>
    <row r="773" ht="15.75" customHeight="1">
      <c r="A773" s="134"/>
      <c r="B773" s="134"/>
      <c r="C773" s="134"/>
      <c r="D773" s="562">
        <f t="shared" si="112"/>
        <v>46167</v>
      </c>
      <c r="E773" s="472" t="str">
        <f>$P$1</f>
        <v>Weston</v>
      </c>
      <c r="F773" s="418">
        <f>IFERROR(AVERAGE(Rankings!$K773:$R773), "TBD")</f>
        <v>4.166666667</v>
      </c>
      <c r="G773" s="418">
        <f>IFERROR(_xlfn.STDEV.P(Rankings!$K773:$R773), "TBD")</f>
        <v>1.343709625</v>
      </c>
      <c r="H773" s="418">
        <f>IFERROR(AVERAGE(Rankings!$K773:$O773, Rankings!$Q773:$R773), "TBD")</f>
        <v>4.4</v>
      </c>
      <c r="I773" s="440" t="s">
        <v>1805</v>
      </c>
      <c r="J773" s="440" t="s">
        <v>1806</v>
      </c>
      <c r="K773" s="430">
        <v>4.0</v>
      </c>
      <c r="L773" s="431">
        <v>5.0</v>
      </c>
      <c r="M773" s="431">
        <v>5.0</v>
      </c>
      <c r="N773" s="555"/>
      <c r="O773" s="431">
        <v>6.0</v>
      </c>
      <c r="P773" s="431">
        <v>3.0</v>
      </c>
      <c r="Q773" s="464">
        <v>2.0</v>
      </c>
      <c r="R773" s="465"/>
      <c r="S773" s="466">
        <f>IF(ISTEXT($V773), "TBD", RANK(V773,$V768:$V774))</f>
        <v>5</v>
      </c>
      <c r="T773" s="467">
        <v>1.0</v>
      </c>
      <c r="U773" s="468" t="b">
        <f>Rankings!$S773=Rankings!$T773</f>
        <v>0</v>
      </c>
      <c r="V773" s="553">
        <f>IF(ISTEXT(Rankings!F773), "TBD", (RANK($F773,$F768:$F774) + IF(ISTEXT($H773), 0, (RANK($H773,$H768:$H774)/10)) + (RANK($G773,$G768:$G774)/100)))</f>
        <v>2.25</v>
      </c>
      <c r="W773" s="153"/>
    </row>
    <row r="774" ht="15.75" customHeight="1">
      <c r="A774" s="189"/>
      <c r="B774" s="189"/>
      <c r="C774" s="189"/>
      <c r="D774" s="563">
        <f t="shared" si="112"/>
        <v>46167</v>
      </c>
      <c r="E774" s="131" t="str">
        <f>$Q$1</f>
        <v>Flocco</v>
      </c>
      <c r="F774" s="474">
        <f>IFERROR(AVERAGE(Rankings!$K774:$R774), "TBD")</f>
        <v>3</v>
      </c>
      <c r="G774" s="474">
        <f>IFERROR(_xlfn.STDEV.P(Rankings!$K774:$R774), "TBD")</f>
        <v>1.732050808</v>
      </c>
      <c r="H774" s="474">
        <f>IFERROR(AVERAGE(Rankings!$K774:$P774, Rankings!$R774), "TBD")</f>
        <v>3.4</v>
      </c>
      <c r="I774" s="475" t="s">
        <v>1807</v>
      </c>
      <c r="J774" s="475" t="s">
        <v>1772</v>
      </c>
      <c r="K774" s="430">
        <v>1.0</v>
      </c>
      <c r="L774" s="431">
        <v>2.0</v>
      </c>
      <c r="M774" s="431">
        <v>4.0</v>
      </c>
      <c r="N774" s="555"/>
      <c r="O774" s="431">
        <v>5.0</v>
      </c>
      <c r="P774" s="431">
        <v>5.0</v>
      </c>
      <c r="Q774" s="464">
        <v>1.0</v>
      </c>
      <c r="R774" s="465"/>
      <c r="S774" s="466">
        <f>IF(ISTEXT($V774), "TBD", RANK(V774,$V768:$V774))</f>
        <v>2</v>
      </c>
      <c r="T774" s="467">
        <v>1.0</v>
      </c>
      <c r="U774" s="468" t="b">
        <f>Rankings!$S774=Rankings!$T774</f>
        <v>0</v>
      </c>
      <c r="V774" s="553">
        <f>IF(ISTEXT(Rankings!F774), "TBD", (RANK($F774,$F768:$F774) + IF(ISTEXT($H774), 0, (RANK($H774,$H768:$H774)/10)) + (RANK($G774,$G768:$G774)/100)))</f>
        <v>5.32</v>
      </c>
      <c r="W774" s="208"/>
    </row>
    <row r="775" ht="15.75" customHeight="1">
      <c r="A775" s="103">
        <v>46169.0</v>
      </c>
      <c r="B775" s="453"/>
      <c r="C775" s="454" t="str">
        <f t="array" ref="C775">INDEX(Rankings!$E775:$E781, MATCH(1, (Rankings!$D775:$D781=$A775)*(Rankings!$U775:$U781=TRUE()), 0))</f>
        <v>Flocco</v>
      </c>
      <c r="D775" s="551">
        <f>A775</f>
        <v>46169</v>
      </c>
      <c r="E775" s="455" t="str">
        <f>$K$1</f>
        <v>Logan</v>
      </c>
      <c r="F775" s="400">
        <f>IFERROR(AVERAGE(Rankings!$K775:$R775), "TBD")</f>
        <v>2.833333333</v>
      </c>
      <c r="G775" s="400">
        <f>IFERROR(_xlfn.STDEV.P(Rankings!$K775:$R775), "TBD")</f>
        <v>1.213351648</v>
      </c>
      <c r="H775" s="400">
        <f>IFERROR(AVERAGE(Rankings!$L775:$R775), "TBD")</f>
        <v>3</v>
      </c>
      <c r="I775" s="421" t="s">
        <v>1808</v>
      </c>
      <c r="J775" s="421" t="s">
        <v>672</v>
      </c>
      <c r="K775" s="422">
        <v>2.0</v>
      </c>
      <c r="L775" s="423">
        <v>3.0</v>
      </c>
      <c r="M775" s="423">
        <v>5.0</v>
      </c>
      <c r="N775" s="555"/>
      <c r="O775" s="423">
        <v>1.0</v>
      </c>
      <c r="P775" s="423">
        <v>3.0</v>
      </c>
      <c r="Q775" s="456">
        <v>3.0</v>
      </c>
      <c r="R775" s="457"/>
      <c r="S775" s="458">
        <f>IF(ISTEXT($V775), "TBD", RANK(V775,$V775:$V781))</f>
        <v>2</v>
      </c>
      <c r="T775" s="459">
        <v>1.0</v>
      </c>
      <c r="U775" s="460" t="b">
        <f>Rankings!$S775=Rankings!$T775</f>
        <v>0</v>
      </c>
      <c r="V775" s="553">
        <f>IF(ISTEXT(Rankings!F775), "TBD", (RANK($F775,$F775:$F781) + IF(ISTEXT($H775), 0, (RANK($H775,$H775:$H781)/10)) + (RANK($G775,$G775:$G781)/100)))</f>
        <v>5.56</v>
      </c>
      <c r="W775" s="567"/>
    </row>
    <row r="776" ht="15.75" customHeight="1">
      <c r="A776" s="134"/>
      <c r="B776" s="134"/>
      <c r="C776" s="134"/>
      <c r="D776" s="554">
        <f>D775</f>
        <v>46169</v>
      </c>
      <c r="E776" s="463" t="str">
        <f>$L$1</f>
        <v>Parker</v>
      </c>
      <c r="F776" s="404">
        <f>IFERROR(AVERAGE(Rankings!$K776:$R776), "TBD")</f>
        <v>3</v>
      </c>
      <c r="G776" s="404">
        <f>IFERROR(_xlfn.STDEV.P(Rankings!$K776:$R776), "TBD")</f>
        <v>1.632993162</v>
      </c>
      <c r="H776" s="404">
        <f>IFERROR(AVERAGE(Rankings!$K776, Rankings!$M776:$R776), "TBD")</f>
        <v>3.2</v>
      </c>
      <c r="I776" s="429" t="s">
        <v>1809</v>
      </c>
      <c r="J776" s="429" t="s">
        <v>1810</v>
      </c>
      <c r="K776" s="430">
        <v>1.0</v>
      </c>
      <c r="L776" s="431">
        <v>2.0</v>
      </c>
      <c r="M776" s="431">
        <v>2.0</v>
      </c>
      <c r="N776" s="555"/>
      <c r="O776" s="431">
        <v>3.0</v>
      </c>
      <c r="P776" s="431">
        <v>4.0</v>
      </c>
      <c r="Q776" s="464">
        <v>6.0</v>
      </c>
      <c r="R776" s="465"/>
      <c r="S776" s="466">
        <f>IF(ISTEXT($V776), "TBD", RANK(V776,$V775:$V781))</f>
        <v>3</v>
      </c>
      <c r="T776" s="467">
        <v>1.0</v>
      </c>
      <c r="U776" s="468" t="b">
        <f>Rankings!$S776=Rankings!$T776</f>
        <v>0</v>
      </c>
      <c r="V776" s="553">
        <f>IF(ISTEXT(Rankings!F776), "TBD", (RANK($F776,$F775:$F781) + IF(ISTEXT($H776), 0, (RANK($H776,$H775:$H781)/10)) + (RANK($G776,$G775:$G781)/100)))</f>
        <v>4.41</v>
      </c>
      <c r="W776" s="153"/>
    </row>
    <row r="777" ht="15.75" customHeight="1">
      <c r="A777" s="134"/>
      <c r="B777" s="134"/>
      <c r="C777" s="134"/>
      <c r="D777" s="556">
        <f>D775</f>
        <v>46169</v>
      </c>
      <c r="E777" s="469" t="str">
        <f>$M$1</f>
        <v>Giacomo</v>
      </c>
      <c r="F777" s="408">
        <f>IFERROR(AVERAGE(Rankings!$K777:$R777), "TBD")</f>
        <v>3.833333333</v>
      </c>
      <c r="G777" s="408">
        <f>IFERROR(_xlfn.STDEV.P(Rankings!$K777:$R777), "TBD")</f>
        <v>1.343709625</v>
      </c>
      <c r="H777" s="408">
        <f>IFERROR(AVERAGE(Rankings!$K777:$L777, Rankings!$N777:$R777), "TBD")</f>
        <v>4</v>
      </c>
      <c r="I777" s="437" t="s">
        <v>1811</v>
      </c>
      <c r="J777" s="437" t="s">
        <v>1812</v>
      </c>
      <c r="K777" s="430">
        <v>3.0</v>
      </c>
      <c r="L777" s="431">
        <v>4.0</v>
      </c>
      <c r="M777" s="431">
        <v>3.0</v>
      </c>
      <c r="N777" s="555"/>
      <c r="O777" s="431">
        <v>6.0</v>
      </c>
      <c r="P777" s="431">
        <v>2.0</v>
      </c>
      <c r="Q777" s="464">
        <v>5.0</v>
      </c>
      <c r="R777" s="465"/>
      <c r="S777" s="466">
        <f>IF(ISTEXT($V777), "TBD", RANK(V777,$V775:$V781))</f>
        <v>4</v>
      </c>
      <c r="T777" s="467">
        <v>1.0</v>
      </c>
      <c r="U777" s="468" t="b">
        <f>Rankings!$S777=Rankings!$T777</f>
        <v>0</v>
      </c>
      <c r="V777" s="553">
        <f>IF(ISTEXT(Rankings!F777), "TBD", (RANK($F777,$F775:$F781) + IF(ISTEXT($H777), 0, (RANK($H777,$H775:$H781)/10)) + (RANK($G777,$G775:$G781)/100)))</f>
        <v>3.35</v>
      </c>
      <c r="W777" s="153"/>
    </row>
    <row r="778" ht="15.75" customHeight="1">
      <c r="A778" s="134"/>
      <c r="B778" s="134"/>
      <c r="C778" s="134"/>
      <c r="D778" s="557">
        <f>D775</f>
        <v>46169</v>
      </c>
      <c r="E778" s="470" t="str">
        <f>$N$1</f>
        <v>Rosey</v>
      </c>
      <c r="F778" s="411" t="str">
        <f>IFERROR(AVERAGE(Rankings!$K778:$R778), "TBD")</f>
        <v>TBD</v>
      </c>
      <c r="G778" s="411" t="str">
        <f>IFERROR(_xlfn.STDEV.P(Rankings!$K778:$R778), "TBD")</f>
        <v>TBD</v>
      </c>
      <c r="H778" s="411" t="str">
        <f>IFERROR(AVERAGE(Rankings!$K778:$M778, Rankings!$O778:$R778), "TBD")</f>
        <v>TBD</v>
      </c>
      <c r="I778" s="568"/>
      <c r="J778" s="568"/>
      <c r="K778" s="565"/>
      <c r="L778" s="566"/>
      <c r="M778" s="431" t="s">
        <v>1813</v>
      </c>
      <c r="N778" s="555"/>
      <c r="O778" s="431" t="s">
        <v>1697</v>
      </c>
      <c r="P778" s="431" t="s">
        <v>1698</v>
      </c>
      <c r="Q778" s="464" t="s">
        <v>1766</v>
      </c>
      <c r="R778" s="465"/>
      <c r="S778" s="466" t="str">
        <f>IF(ISTEXT($V778), "TBD", RANK(V778,$V775:$V781))</f>
        <v>TBD</v>
      </c>
      <c r="T778" s="467">
        <v>1.0</v>
      </c>
      <c r="U778" s="468" t="b">
        <f>Rankings!$S778=Rankings!$T778</f>
        <v>0</v>
      </c>
      <c r="V778" s="553" t="str">
        <f>IF(ISTEXT(Rankings!F778), "TBD", (RANK($F778,$F775:$F781) + IF(ISTEXT($H778), 0, (RANK($H778,$H775:$H781)/10)) + (RANK($G778,$G775:$G781)/100)))</f>
        <v>TBD</v>
      </c>
      <c r="W778" s="153"/>
    </row>
    <row r="779" ht="15.75" customHeight="1">
      <c r="A779" s="134"/>
      <c r="B779" s="134"/>
      <c r="C779" s="134"/>
      <c r="D779" s="561">
        <f t="shared" ref="D779:D781" si="113">D775</f>
        <v>46169</v>
      </c>
      <c r="E779" s="471" t="str">
        <f>$O$1</f>
        <v>TTAC</v>
      </c>
      <c r="F779" s="414">
        <f>IFERROR(AVERAGE(Rankings!$K779:$R779), "TBD")</f>
        <v>4.5</v>
      </c>
      <c r="G779" s="414">
        <f>IFERROR(_xlfn.STDEV.P(Rankings!$K779:$R779), "TBD")</f>
        <v>1.38443731</v>
      </c>
      <c r="H779" s="414">
        <f>IFERROR(AVERAGE(Rankings!$K779:$N779, Rankings!$P779:$R779), "TBD")</f>
        <v>5</v>
      </c>
      <c r="I779" s="439" t="s">
        <v>1814</v>
      </c>
      <c r="J779" s="439" t="s">
        <v>1815</v>
      </c>
      <c r="K779" s="430">
        <v>5.0</v>
      </c>
      <c r="L779" s="431">
        <v>6.0</v>
      </c>
      <c r="M779" s="431">
        <v>4.0</v>
      </c>
      <c r="N779" s="555"/>
      <c r="O779" s="431">
        <v>2.0</v>
      </c>
      <c r="P779" s="431">
        <v>6.0</v>
      </c>
      <c r="Q779" s="464">
        <v>4.0</v>
      </c>
      <c r="R779" s="465"/>
      <c r="S779" s="466">
        <f>IF(ISTEXT($V779), "TBD", RANK(V779,$V775:$V781))</f>
        <v>5</v>
      </c>
      <c r="T779" s="467">
        <v>1.0</v>
      </c>
      <c r="U779" s="468" t="b">
        <f>Rankings!$S779=Rankings!$T779</f>
        <v>0</v>
      </c>
      <c r="V779" s="553">
        <f>IF(ISTEXT(Rankings!F779), "TBD", (RANK($F779,$F775:$F781) + IF(ISTEXT($H779), 0, (RANK($H779,$H775:$H781)/10)) + (RANK($G779,$G775:$G781)/100)))</f>
        <v>2.13</v>
      </c>
      <c r="W779" s="153"/>
    </row>
    <row r="780" ht="15.75" customHeight="1">
      <c r="A780" s="134"/>
      <c r="B780" s="134"/>
      <c r="C780" s="134"/>
      <c r="D780" s="562">
        <f t="shared" si="113"/>
        <v>46169</v>
      </c>
      <c r="E780" s="472" t="str">
        <f>$P$1</f>
        <v>Weston</v>
      </c>
      <c r="F780" s="418">
        <f>IFERROR(AVERAGE(Rankings!$K780:$R780), "TBD")</f>
        <v>4.833333333</v>
      </c>
      <c r="G780" s="418">
        <f>IFERROR(_xlfn.STDEV.P(Rankings!$K780:$R780), "TBD")</f>
        <v>1.343709625</v>
      </c>
      <c r="H780" s="418">
        <f>IFERROR(AVERAGE(Rankings!$K780:$O780, Rankings!$Q780:$R780), "TBD")</f>
        <v>4.8</v>
      </c>
      <c r="I780" s="440" t="s">
        <v>1816</v>
      </c>
      <c r="J780" s="440" t="s">
        <v>1817</v>
      </c>
      <c r="K780" s="430">
        <v>6.0</v>
      </c>
      <c r="L780" s="431">
        <v>5.0</v>
      </c>
      <c r="M780" s="431">
        <v>6.0</v>
      </c>
      <c r="N780" s="555"/>
      <c r="O780" s="431">
        <v>5.0</v>
      </c>
      <c r="P780" s="431">
        <v>5.0</v>
      </c>
      <c r="Q780" s="464">
        <v>2.0</v>
      </c>
      <c r="R780" s="465"/>
      <c r="S780" s="466">
        <f>IF(ISTEXT($V780), "TBD", RANK(V780,$V775:$V781))</f>
        <v>6</v>
      </c>
      <c r="T780" s="467">
        <v>1.0</v>
      </c>
      <c r="U780" s="468" t="b">
        <f>Rankings!$S780=Rankings!$T780</f>
        <v>0</v>
      </c>
      <c r="V780" s="553">
        <f>IF(ISTEXT(Rankings!F780), "TBD", (RANK($F780,$F775:$F781) + IF(ISTEXT($H780), 0, (RANK($H780,$H775:$H781)/10)) + (RANK($G780,$G775:$G781)/100)))</f>
        <v>1.24</v>
      </c>
      <c r="W780" s="153"/>
    </row>
    <row r="781" ht="15.75" customHeight="1">
      <c r="A781" s="189"/>
      <c r="B781" s="189"/>
      <c r="C781" s="189"/>
      <c r="D781" s="563">
        <f t="shared" si="113"/>
        <v>46169</v>
      </c>
      <c r="E781" s="131" t="str">
        <f>$Q$1</f>
        <v>Flocco</v>
      </c>
      <c r="F781" s="474">
        <f>IFERROR(AVERAGE(Rankings!$K781:$R781), "TBD")</f>
        <v>2</v>
      </c>
      <c r="G781" s="474">
        <f>IFERROR(_xlfn.STDEV.P(Rankings!$K781:$R781), "TBD")</f>
        <v>1.414213562</v>
      </c>
      <c r="H781" s="474">
        <f>IFERROR(AVERAGE(Rankings!$K781:$P781, Rankings!$R781), "TBD")</f>
        <v>2.2</v>
      </c>
      <c r="I781" s="475" t="s">
        <v>1818</v>
      </c>
      <c r="J781" s="475" t="s">
        <v>1819</v>
      </c>
      <c r="K781" s="430">
        <v>4.0</v>
      </c>
      <c r="L781" s="431">
        <v>1.0</v>
      </c>
      <c r="M781" s="431">
        <v>1.0</v>
      </c>
      <c r="N781" s="555"/>
      <c r="O781" s="431">
        <v>4.0</v>
      </c>
      <c r="P781" s="431">
        <v>1.0</v>
      </c>
      <c r="Q781" s="464">
        <v>1.0</v>
      </c>
      <c r="R781" s="465"/>
      <c r="S781" s="466">
        <f>IF(ISTEXT($V781), "TBD", RANK(V781,$V775:$V781))</f>
        <v>1</v>
      </c>
      <c r="T781" s="467">
        <v>1.0</v>
      </c>
      <c r="U781" s="468" t="b">
        <f>Rankings!$S781=Rankings!$T781</f>
        <v>1</v>
      </c>
      <c r="V781" s="553">
        <f>IF(ISTEXT(Rankings!F781), "TBD", (RANK($F781,$F775:$F781) + IF(ISTEXT($H781), 0, (RANK($H781,$H775:$H781)/10)) + (RANK($G781,$G775:$G781)/100)))</f>
        <v>6.62</v>
      </c>
      <c r="W781" s="208"/>
      <c r="X781" s="442" t="s">
        <v>1820</v>
      </c>
      <c r="Y781" s="442" t="s">
        <v>1821</v>
      </c>
    </row>
    <row r="782" ht="15.75" customHeight="1">
      <c r="A782" s="103">
        <v>46171.0</v>
      </c>
      <c r="B782" s="453"/>
      <c r="C782" s="454" t="str">
        <f t="array" ref="C782">INDEX(Rankings!$E782:$E788, MATCH(1, (Rankings!$D782:$D788=$A782)*(Rankings!$U782:$U788=TRUE()), 0))</f>
        <v>Parker</v>
      </c>
      <c r="D782" s="551">
        <f>A782</f>
        <v>46171</v>
      </c>
      <c r="E782" s="455" t="str">
        <f>$K$1</f>
        <v>Logan</v>
      </c>
      <c r="F782" s="400">
        <f>IFERROR(AVERAGE(Rankings!$K782:$R782), "TBD")</f>
        <v>4.166666667</v>
      </c>
      <c r="G782" s="400">
        <f>IFERROR(_xlfn.STDEV.P(Rankings!$K782:$R782), "TBD")</f>
        <v>1.67497927</v>
      </c>
      <c r="H782" s="400">
        <f>IFERROR(AVERAGE(Rankings!$L782:$R782), "TBD")</f>
        <v>4.6</v>
      </c>
      <c r="I782" s="421" t="s">
        <v>1822</v>
      </c>
      <c r="J782" s="421" t="s">
        <v>1823</v>
      </c>
      <c r="K782" s="422">
        <v>2.0</v>
      </c>
      <c r="L782" s="423">
        <v>6.0</v>
      </c>
      <c r="M782" s="423">
        <v>6.0</v>
      </c>
      <c r="N782" s="555"/>
      <c r="O782" s="423">
        <v>4.0</v>
      </c>
      <c r="P782" s="423">
        <v>2.0</v>
      </c>
      <c r="Q782" s="456">
        <v>5.0</v>
      </c>
      <c r="R782" s="457"/>
      <c r="S782" s="458">
        <f>IF(ISTEXT($V782), "TBD", RANK(V782,$V782:$V788))</f>
        <v>5</v>
      </c>
      <c r="T782" s="459">
        <v>1.0</v>
      </c>
      <c r="U782" s="460" t="b">
        <f>Rankings!$S782=Rankings!$T782</f>
        <v>0</v>
      </c>
      <c r="V782" s="553">
        <f>IF(ISTEXT(Rankings!F782), "TBD", (RANK($F782,$F782:$F788) + IF(ISTEXT($H782), 0, (RANK($H782,$H782:$H788)/10)) + (RANK($G782,$G782:$G788)/100)))</f>
        <v>2.22</v>
      </c>
      <c r="W782" s="329" t="s">
        <v>1824</v>
      </c>
      <c r="X782" s="570" t="s">
        <v>1825</v>
      </c>
      <c r="Y782" s="570" t="s">
        <v>1826</v>
      </c>
    </row>
    <row r="783" ht="15.75" customHeight="1">
      <c r="A783" s="134"/>
      <c r="B783" s="134"/>
      <c r="C783" s="134"/>
      <c r="D783" s="554">
        <f>D782</f>
        <v>46171</v>
      </c>
      <c r="E783" s="463" t="str">
        <f>$L$1</f>
        <v>Parker</v>
      </c>
      <c r="F783" s="404">
        <f>IFERROR(AVERAGE(Rankings!$K783:$R783), "TBD")</f>
        <v>2.5</v>
      </c>
      <c r="G783" s="404">
        <f>IFERROR(_xlfn.STDEV.P(Rankings!$K783:$R783), "TBD")</f>
        <v>1.607275127</v>
      </c>
      <c r="H783" s="404">
        <f>IFERROR(AVERAGE(Rankings!$K783, Rankings!$M783:$R783), "TBD")</f>
        <v>2.8</v>
      </c>
      <c r="I783" s="429" t="s">
        <v>1827</v>
      </c>
      <c r="J783" s="429" t="s">
        <v>1828</v>
      </c>
      <c r="K783" s="430">
        <v>1.0</v>
      </c>
      <c r="L783" s="431">
        <v>1.0</v>
      </c>
      <c r="M783" s="431">
        <v>3.0</v>
      </c>
      <c r="N783" s="555"/>
      <c r="O783" s="431">
        <v>1.0</v>
      </c>
      <c r="P783" s="431">
        <v>5.0</v>
      </c>
      <c r="Q783" s="464">
        <v>4.0</v>
      </c>
      <c r="R783" s="465"/>
      <c r="S783" s="466">
        <f>IF(ISTEXT($V783), "TBD", RANK(V783,$V782:$V788))</f>
        <v>1</v>
      </c>
      <c r="T783" s="467">
        <v>1.0</v>
      </c>
      <c r="U783" s="468" t="b">
        <f>Rankings!$S783=Rankings!$T783</f>
        <v>1</v>
      </c>
      <c r="V783" s="553">
        <f>IF(ISTEXT(Rankings!F783), "TBD", (RANK($F783,$F782:$F788) + IF(ISTEXT($H783), 0, (RANK($H783,$H782:$H788)/10)) + (RANK($G783,$G782:$G788)/100)))</f>
        <v>6.63</v>
      </c>
      <c r="W783" s="153"/>
      <c r="X783" s="570" t="s">
        <v>1829</v>
      </c>
      <c r="Y783" s="570" t="s">
        <v>1830</v>
      </c>
    </row>
    <row r="784" ht="15.75" customHeight="1">
      <c r="A784" s="134"/>
      <c r="B784" s="134"/>
      <c r="C784" s="134"/>
      <c r="D784" s="556">
        <f>D782</f>
        <v>46171</v>
      </c>
      <c r="E784" s="469" t="str">
        <f>$M$1</f>
        <v>Giacomo</v>
      </c>
      <c r="F784" s="408">
        <f>IFERROR(AVERAGE(Rankings!$K784:$R784), "TBD")</f>
        <v>3.333333333</v>
      </c>
      <c r="G784" s="408">
        <f>IFERROR(_xlfn.STDEV.P(Rankings!$K784:$R784), "TBD")</f>
        <v>1.374368542</v>
      </c>
      <c r="H784" s="408">
        <f>IFERROR(AVERAGE(Rankings!$K784:$L784, Rankings!$N784:$R784), "TBD")</f>
        <v>3.6</v>
      </c>
      <c r="I784" s="437" t="s">
        <v>1831</v>
      </c>
      <c r="J784" s="437" t="s">
        <v>1832</v>
      </c>
      <c r="K784" s="430">
        <v>4.0</v>
      </c>
      <c r="L784" s="431">
        <v>2.0</v>
      </c>
      <c r="M784" s="431">
        <v>2.0</v>
      </c>
      <c r="N784" s="555"/>
      <c r="O784" s="431">
        <v>3.0</v>
      </c>
      <c r="P784" s="431">
        <v>3.0</v>
      </c>
      <c r="Q784" s="464">
        <v>6.0</v>
      </c>
      <c r="R784" s="465"/>
      <c r="S784" s="466">
        <f>IF(ISTEXT($V784), "TBD", RANK(V784,$V782:$V788))</f>
        <v>3</v>
      </c>
      <c r="T784" s="467">
        <v>1.0</v>
      </c>
      <c r="U784" s="468" t="b">
        <f>Rankings!$S784=Rankings!$T784</f>
        <v>0</v>
      </c>
      <c r="V784" s="553">
        <f>IF(ISTEXT(Rankings!F784), "TBD", (RANK($F784,$F782:$F788) + IF(ISTEXT($H784), 0, (RANK($H784,$H782:$H788)/10)) + (RANK($G784,$G782:$G788)/100)))</f>
        <v>3.45</v>
      </c>
      <c r="W784" s="153"/>
    </row>
    <row r="785" ht="15.75" customHeight="1">
      <c r="A785" s="134"/>
      <c r="B785" s="134"/>
      <c r="C785" s="134"/>
      <c r="D785" s="557">
        <f>D782</f>
        <v>46171</v>
      </c>
      <c r="E785" s="470" t="str">
        <f>$N$1</f>
        <v>Rosey</v>
      </c>
      <c r="F785" s="411" t="str">
        <f>IFERROR(AVERAGE(Rankings!$K785:$R785), "TBD")</f>
        <v>TBD</v>
      </c>
      <c r="G785" s="411" t="str">
        <f>IFERROR(_xlfn.STDEV.P(Rankings!$K785:$R785), "TBD")</f>
        <v>TBD</v>
      </c>
      <c r="H785" s="411" t="str">
        <f>IFERROR(AVERAGE(Rankings!$K785:$M785, Rankings!$O785:$R785), "TBD")</f>
        <v>TBD</v>
      </c>
      <c r="I785" s="568"/>
      <c r="J785" s="568"/>
      <c r="K785" s="565"/>
      <c r="L785" s="566"/>
      <c r="M785" s="431" t="s">
        <v>1833</v>
      </c>
      <c r="N785" s="555"/>
      <c r="O785" s="431" t="s">
        <v>1697</v>
      </c>
      <c r="P785" s="431" t="s">
        <v>1698</v>
      </c>
      <c r="Q785" s="464" t="s">
        <v>1766</v>
      </c>
      <c r="R785" s="465"/>
      <c r="S785" s="466" t="str">
        <f>IF(ISTEXT($V785), "TBD", RANK(V785,$V782:$V788))</f>
        <v>TBD</v>
      </c>
      <c r="T785" s="467">
        <v>1.0</v>
      </c>
      <c r="U785" s="468" t="b">
        <f>Rankings!$S785=Rankings!$T785</f>
        <v>0</v>
      </c>
      <c r="V785" s="553" t="str">
        <f>IF(ISTEXT(Rankings!F785), "TBD", (RANK($F785,$F782:$F788) + IF(ISTEXT($H785), 0, (RANK($H785,$H782:$H788)/10)) + (RANK($G785,$G782:$G788)/100)))</f>
        <v>TBD</v>
      </c>
      <c r="W785" s="153"/>
    </row>
    <row r="786" ht="15.75" customHeight="1">
      <c r="A786" s="134"/>
      <c r="B786" s="134"/>
      <c r="C786" s="134"/>
      <c r="D786" s="561">
        <f t="shared" ref="D786:D788" si="114">D782</f>
        <v>46171</v>
      </c>
      <c r="E786" s="471" t="str">
        <f>$O$1</f>
        <v>TTAC</v>
      </c>
      <c r="F786" s="414">
        <f>IFERROR(AVERAGE(Rankings!$K786:$R786), "TBD")</f>
        <v>3.166666667</v>
      </c>
      <c r="G786" s="414">
        <f>IFERROR(_xlfn.STDEV.P(Rankings!$K786:$R786), "TBD")</f>
        <v>1.343709625</v>
      </c>
      <c r="H786" s="414">
        <f>IFERROR(AVERAGE(Rankings!$K786:$N786, Rankings!$P786:$R786), "TBD")</f>
        <v>3.4</v>
      </c>
      <c r="I786" s="439" t="s">
        <v>1834</v>
      </c>
      <c r="J786" s="439" t="s">
        <v>1835</v>
      </c>
      <c r="K786" s="430">
        <v>5.0</v>
      </c>
      <c r="L786" s="431">
        <v>3.0</v>
      </c>
      <c r="M786" s="431">
        <v>4.0</v>
      </c>
      <c r="N786" s="555"/>
      <c r="O786" s="431">
        <v>2.0</v>
      </c>
      <c r="P786" s="131">
        <v>4.0</v>
      </c>
      <c r="Q786" s="464">
        <v>1.0</v>
      </c>
      <c r="R786" s="465"/>
      <c r="S786" s="466">
        <f>IF(ISTEXT($V786), "TBD", RANK(V786,$V782:$V788))</f>
        <v>2</v>
      </c>
      <c r="T786" s="467">
        <v>1.0</v>
      </c>
      <c r="U786" s="468" t="b">
        <f>Rankings!$S786=Rankings!$T786</f>
        <v>0</v>
      </c>
      <c r="V786" s="553">
        <f>IF(ISTEXT(Rankings!F786), "TBD", (RANK($F786,$F782:$F788) + IF(ISTEXT($H786), 0, (RANK($H786,$H782:$H788)/10)) + (RANK($G786,$G782:$G788)/100)))</f>
        <v>5.56</v>
      </c>
      <c r="W786" s="153"/>
      <c r="X786" s="570" t="s">
        <v>1836</v>
      </c>
      <c r="Y786" s="571" t="s">
        <v>1826</v>
      </c>
    </row>
    <row r="787" ht="15.75" customHeight="1">
      <c r="A787" s="134"/>
      <c r="B787" s="134"/>
      <c r="C787" s="134"/>
      <c r="D787" s="562">
        <f t="shared" si="114"/>
        <v>46171</v>
      </c>
      <c r="E787" s="472" t="str">
        <f>$P$1</f>
        <v>Weston</v>
      </c>
      <c r="F787" s="418">
        <f>IFERROR(AVERAGE(Rankings!$K787:$R787), "TBD")</f>
        <v>3.333333333</v>
      </c>
      <c r="G787" s="418">
        <f>IFERROR(_xlfn.STDEV.P(Rankings!$K787:$R787), "TBD")</f>
        <v>1.885618083</v>
      </c>
      <c r="H787" s="418">
        <f>IFERROR(AVERAGE(Rankings!$K787:$O787, Rankings!$Q787:$R787), "TBD")</f>
        <v>3.8</v>
      </c>
      <c r="I787" s="440" t="s">
        <v>1837</v>
      </c>
      <c r="J787" s="440" t="s">
        <v>1838</v>
      </c>
      <c r="K787" s="430">
        <v>6.0</v>
      </c>
      <c r="L787" s="431">
        <v>4.0</v>
      </c>
      <c r="M787" s="431">
        <v>1.0</v>
      </c>
      <c r="N787" s="555"/>
      <c r="O787" s="431">
        <v>5.0</v>
      </c>
      <c r="P787" s="431">
        <v>1.0</v>
      </c>
      <c r="Q787" s="464">
        <v>3.0</v>
      </c>
      <c r="R787" s="465"/>
      <c r="S787" s="466">
        <f>IF(ISTEXT($V787), "TBD", RANK(V787,$V782:$V788))</f>
        <v>4</v>
      </c>
      <c r="T787" s="467">
        <v>1.0</v>
      </c>
      <c r="U787" s="468" t="b">
        <f>Rankings!$S787=Rankings!$T787</f>
        <v>0</v>
      </c>
      <c r="V787" s="553">
        <f>IF(ISTEXT(Rankings!F787), "TBD", (RANK($F787,$F782:$F788) + IF(ISTEXT($H787), 0, (RANK($H787,$H782:$H788)/10)) + (RANK($G787,$G782:$G788)/100)))</f>
        <v>3.31</v>
      </c>
      <c r="W787" s="153"/>
      <c r="X787" s="570" t="s">
        <v>1839</v>
      </c>
      <c r="Y787" s="570" t="s">
        <v>1826</v>
      </c>
    </row>
    <row r="788" ht="15.75" customHeight="1">
      <c r="A788" s="189"/>
      <c r="B788" s="189"/>
      <c r="C788" s="189"/>
      <c r="D788" s="563">
        <f t="shared" si="114"/>
        <v>46171</v>
      </c>
      <c r="E788" s="131" t="str">
        <f>$Q$1</f>
        <v>Flocco</v>
      </c>
      <c r="F788" s="474">
        <f>IFERROR(AVERAGE(Rankings!$K788:$R788), "TBD")</f>
        <v>4.5</v>
      </c>
      <c r="G788" s="474">
        <f>IFERROR(_xlfn.STDEV.P(Rankings!$K788:$R788), "TBD")</f>
        <v>1.5</v>
      </c>
      <c r="H788" s="474">
        <f>IFERROR(AVERAGE(Rankings!$K788:$P788, Rankings!$R788), "TBD")</f>
        <v>5</v>
      </c>
      <c r="I788" s="475" t="s">
        <v>1840</v>
      </c>
      <c r="J788" s="475" t="s">
        <v>1841</v>
      </c>
      <c r="K788" s="430">
        <v>3.0</v>
      </c>
      <c r="L788" s="431">
        <v>5.0</v>
      </c>
      <c r="M788" s="431">
        <v>5.0</v>
      </c>
      <c r="N788" s="555"/>
      <c r="O788" s="431">
        <v>6.0</v>
      </c>
      <c r="P788" s="431">
        <v>6.0</v>
      </c>
      <c r="Q788" s="464">
        <v>2.0</v>
      </c>
      <c r="R788" s="465"/>
      <c r="S788" s="466">
        <f>IF(ISTEXT($V788), "TBD", RANK(V788,$V782:$V788))</f>
        <v>6</v>
      </c>
      <c r="T788" s="467">
        <v>1.0</v>
      </c>
      <c r="U788" s="468" t="b">
        <f>Rankings!$S788=Rankings!$T788</f>
        <v>0</v>
      </c>
      <c r="V788" s="553">
        <f>IF(ISTEXT(Rankings!F788), "TBD", (RANK($F788,$F782:$F788) + IF(ISTEXT($H788), 0, (RANK($H788,$H782:$H788)/10)) + (RANK($G788,$G782:$G788)/100)))</f>
        <v>1.14</v>
      </c>
      <c r="W788" s="208"/>
      <c r="X788" s="570" t="s">
        <v>1842</v>
      </c>
      <c r="Y788" s="570" t="s">
        <v>1843</v>
      </c>
    </row>
    <row r="789" ht="15.75" customHeight="1">
      <c r="A789" s="103">
        <v>46174.0</v>
      </c>
      <c r="B789" s="453"/>
      <c r="C789" s="454" t="str">
        <f t="array" ref="C789">INDEX(Rankings!$E789:$E795, MATCH(1, (Rankings!$D789:$D795=$A789)*(Rankings!$U789:$U795=TRUE()), 0))</f>
        <v>Logan</v>
      </c>
      <c r="D789" s="551">
        <f>A789</f>
        <v>46174</v>
      </c>
      <c r="E789" s="455" t="str">
        <f>$K$1</f>
        <v>Logan</v>
      </c>
      <c r="F789" s="400">
        <f>IFERROR(AVERAGE(Rankings!$K789:$R789), "TBD")</f>
        <v>2.333333333</v>
      </c>
      <c r="G789" s="400">
        <f>IFERROR(_xlfn.STDEV.P(Rankings!$K789:$R789), "TBD")</f>
        <v>1.105541597</v>
      </c>
      <c r="H789" s="400">
        <f>IFERROR(AVERAGE(Rankings!$L789:$R789), "TBD")</f>
        <v>2.6</v>
      </c>
      <c r="I789" s="421" t="s">
        <v>1844</v>
      </c>
      <c r="J789" s="421" t="s">
        <v>1845</v>
      </c>
      <c r="K789" s="422">
        <v>1.0</v>
      </c>
      <c r="L789" s="423">
        <v>3.0</v>
      </c>
      <c r="M789" s="423">
        <v>1.0</v>
      </c>
      <c r="N789" s="555"/>
      <c r="O789" s="423">
        <v>2.0</v>
      </c>
      <c r="P789" s="423">
        <v>3.0</v>
      </c>
      <c r="Q789" s="456">
        <v>4.0</v>
      </c>
      <c r="R789" s="457"/>
      <c r="S789" s="458">
        <f>IF(ISTEXT($V789), "TBD", RANK(V789,$V789:$V795))</f>
        <v>1</v>
      </c>
      <c r="T789" s="459">
        <v>1.0</v>
      </c>
      <c r="U789" s="460" t="b">
        <f>Rankings!$S789=Rankings!$T789</f>
        <v>1</v>
      </c>
      <c r="V789" s="553">
        <f>IF(ISTEXT(Rankings!F789), "TBD", (RANK($F789,$F789:$F795) + IF(ISTEXT($H789), 0, (RANK($H789,$H789:$H795)/10)) + (RANK($G789,$G789:$G795)/100)))</f>
        <v>6.65</v>
      </c>
      <c r="W789" s="567"/>
    </row>
    <row r="790" ht="15.75" customHeight="1">
      <c r="A790" s="134"/>
      <c r="B790" s="134"/>
      <c r="C790" s="134"/>
      <c r="D790" s="554">
        <f>D789</f>
        <v>46174</v>
      </c>
      <c r="E790" s="463" t="str">
        <f>$L$1</f>
        <v>Parker</v>
      </c>
      <c r="F790" s="404">
        <f>IFERROR(AVERAGE(Rankings!$K790:$R790), "TBD")</f>
        <v>3.5</v>
      </c>
      <c r="G790" s="404">
        <f>IFERROR(_xlfn.STDEV.P(Rankings!$K790:$R790), "TBD")</f>
        <v>1.5</v>
      </c>
      <c r="H790" s="404">
        <f>IFERROR(AVERAGE(Rankings!$K790, Rankings!$M790:$R790), "TBD")</f>
        <v>4</v>
      </c>
      <c r="I790" s="429" t="s">
        <v>1846</v>
      </c>
      <c r="J790" s="429" t="s">
        <v>1847</v>
      </c>
      <c r="K790" s="430">
        <v>3.0</v>
      </c>
      <c r="L790" s="431">
        <v>1.0</v>
      </c>
      <c r="M790" s="431">
        <v>4.0</v>
      </c>
      <c r="N790" s="555"/>
      <c r="O790" s="431">
        <v>3.0</v>
      </c>
      <c r="P790" s="431">
        <v>4.0</v>
      </c>
      <c r="Q790" s="464">
        <v>6.0</v>
      </c>
      <c r="R790" s="465"/>
      <c r="S790" s="466">
        <f>IF(ISTEXT($V790), "TBD", RANK(V790,$V789:$V795))</f>
        <v>4</v>
      </c>
      <c r="T790" s="467">
        <v>1.0</v>
      </c>
      <c r="U790" s="468" t="b">
        <f>Rankings!$S790=Rankings!$T790</f>
        <v>0</v>
      </c>
      <c r="V790" s="553">
        <f>IF(ISTEXT(Rankings!F790), "TBD", (RANK($F790,$F789:$F795) + IF(ISTEXT($H790), 0, (RANK($H790,$H789:$H795)/10)) + (RANK($G790,$G789:$G795)/100)))</f>
        <v>3.33</v>
      </c>
      <c r="W790" s="153"/>
      <c r="Y790" s="570" t="s">
        <v>1848</v>
      </c>
    </row>
    <row r="791" ht="15.75" customHeight="1">
      <c r="A791" s="134"/>
      <c r="B791" s="134"/>
      <c r="C791" s="134"/>
      <c r="D791" s="556">
        <f>D789</f>
        <v>46174</v>
      </c>
      <c r="E791" s="469" t="str">
        <f>$M$1</f>
        <v>Giacomo</v>
      </c>
      <c r="F791" s="408">
        <f>IFERROR(AVERAGE(Rankings!$K791:$R791), "TBD")</f>
        <v>4.333333333</v>
      </c>
      <c r="G791" s="408">
        <f>IFERROR(_xlfn.STDEV.P(Rankings!$K791:$R791), "TBD")</f>
        <v>1.105541597</v>
      </c>
      <c r="H791" s="408">
        <f>IFERROR(AVERAGE(Rankings!$K791:$L791, Rankings!$N791:$R791), "TBD")</f>
        <v>4.8</v>
      </c>
      <c r="I791" s="437" t="s">
        <v>1849</v>
      </c>
      <c r="J791" s="437" t="s">
        <v>1850</v>
      </c>
      <c r="K791" s="430">
        <v>5.0</v>
      </c>
      <c r="L791" s="431">
        <v>4.0</v>
      </c>
      <c r="M791" s="431">
        <v>2.0</v>
      </c>
      <c r="N791" s="555"/>
      <c r="O791" s="431">
        <v>5.0</v>
      </c>
      <c r="P791" s="431">
        <v>5.0</v>
      </c>
      <c r="Q791" s="464">
        <v>5.0</v>
      </c>
      <c r="R791" s="465"/>
      <c r="S791" s="466">
        <f>IF(ISTEXT($V791), "TBD", RANK(V791,$V789:$V795))</f>
        <v>5</v>
      </c>
      <c r="T791" s="467">
        <v>1.0</v>
      </c>
      <c r="U791" s="468" t="b">
        <f>Rankings!$S791=Rankings!$T791</f>
        <v>0</v>
      </c>
      <c r="V791" s="553">
        <f>IF(ISTEXT(Rankings!F791), "TBD", (RANK($F791,$F789:$F795) + IF(ISTEXT($H791), 0, (RANK($H791,$H789:$H795)/10)) + (RANK($G791,$G789:$G795)/100)))</f>
        <v>2.25</v>
      </c>
      <c r="W791" s="153"/>
      <c r="Y791" s="570" t="s">
        <v>1851</v>
      </c>
    </row>
    <row r="792" ht="15.75" customHeight="1">
      <c r="A792" s="134"/>
      <c r="B792" s="134"/>
      <c r="C792" s="134"/>
      <c r="D792" s="557">
        <f>D789</f>
        <v>46174</v>
      </c>
      <c r="E792" s="470" t="str">
        <f>$N$1</f>
        <v>Rosey</v>
      </c>
      <c r="F792" s="411" t="str">
        <f>IFERROR(AVERAGE(Rankings!$K792:$R792), "TBD")</f>
        <v>TBD</v>
      </c>
      <c r="G792" s="411" t="str">
        <f>IFERROR(_xlfn.STDEV.P(Rankings!$K792:$R792), "TBD")</f>
        <v>TBD</v>
      </c>
      <c r="H792" s="411" t="str">
        <f>IFERROR(AVERAGE(Rankings!$K792:$M792, Rankings!$O792:$R792), "TBD")</f>
        <v>TBD</v>
      </c>
      <c r="I792" s="568"/>
      <c r="J792" s="568"/>
      <c r="K792" s="565"/>
      <c r="L792" s="566"/>
      <c r="M792" s="431" t="s">
        <v>1852</v>
      </c>
      <c r="N792" s="555"/>
      <c r="O792" s="431" t="s">
        <v>1697</v>
      </c>
      <c r="P792" s="431" t="s">
        <v>1698</v>
      </c>
      <c r="Q792" s="464" t="s">
        <v>1766</v>
      </c>
      <c r="R792" s="465"/>
      <c r="S792" s="466" t="str">
        <f>IF(ISTEXT($V792), "TBD", RANK(V792,$V789:$V795))</f>
        <v>TBD</v>
      </c>
      <c r="T792" s="467">
        <v>1.0</v>
      </c>
      <c r="U792" s="468" t="b">
        <f>Rankings!$S792=Rankings!$T792</f>
        <v>0</v>
      </c>
      <c r="V792" s="553" t="str">
        <f>IF(ISTEXT(Rankings!F792), "TBD", (RANK($F792,$F789:$F795) + IF(ISTEXT($H792), 0, (RANK($H792,$H789:$H795)/10)) + (RANK($G792,$G789:$G795)/100)))</f>
        <v>TBD</v>
      </c>
      <c r="W792" s="153"/>
    </row>
    <row r="793" ht="15.75" customHeight="1">
      <c r="A793" s="134"/>
      <c r="B793" s="134"/>
      <c r="C793" s="134"/>
      <c r="D793" s="561">
        <f t="shared" ref="D793:D795" si="115">D789</f>
        <v>46174</v>
      </c>
      <c r="E793" s="471" t="str">
        <f>$O$1</f>
        <v>TTAC</v>
      </c>
      <c r="F793" s="414">
        <f>IFERROR(AVERAGE(Rankings!$K793:$R793), "TBD")</f>
        <v>4.833333333</v>
      </c>
      <c r="G793" s="414">
        <f>IFERROR(_xlfn.STDEV.P(Rankings!$K793:$R793), "TBD")</f>
        <v>1.462494065</v>
      </c>
      <c r="H793" s="414">
        <f>IFERROR(AVERAGE(Rankings!$K793:$N793, Rankings!$P793:$R793), "TBD")</f>
        <v>5</v>
      </c>
      <c r="I793" s="439" t="s">
        <v>1853</v>
      </c>
      <c r="J793" s="439" t="s">
        <v>1854</v>
      </c>
      <c r="K793" s="430">
        <v>6.0</v>
      </c>
      <c r="L793" s="431">
        <v>6.0</v>
      </c>
      <c r="M793" s="431">
        <v>5.0</v>
      </c>
      <c r="N793" s="555"/>
      <c r="O793" s="431">
        <v>4.0</v>
      </c>
      <c r="P793" s="431">
        <v>6.0</v>
      </c>
      <c r="Q793" s="464">
        <v>2.0</v>
      </c>
      <c r="R793" s="465"/>
      <c r="S793" s="466">
        <f>IF(ISTEXT($V793), "TBD", RANK(V793,$V789:$V795))</f>
        <v>6</v>
      </c>
      <c r="T793" s="467">
        <v>1.0</v>
      </c>
      <c r="U793" s="468" t="b">
        <f>Rankings!$S793=Rankings!$T793</f>
        <v>0</v>
      </c>
      <c r="V793" s="553">
        <f>IF(ISTEXT(Rankings!F793), "TBD", (RANK($F793,$F789:$F795) + IF(ISTEXT($H793), 0, (RANK($H793,$H789:$H795)/10)) + (RANK($G793,$G789:$G795)/100)))</f>
        <v>1.14</v>
      </c>
      <c r="W793" s="153"/>
    </row>
    <row r="794" ht="15.75" customHeight="1">
      <c r="A794" s="134"/>
      <c r="B794" s="134"/>
      <c r="C794" s="134"/>
      <c r="D794" s="562">
        <f t="shared" si="115"/>
        <v>46174</v>
      </c>
      <c r="E794" s="472" t="str">
        <f>$P$1</f>
        <v>Weston</v>
      </c>
      <c r="F794" s="418">
        <f>IFERROR(AVERAGE(Rankings!$K794:$R794), "TBD")</f>
        <v>2.833333333</v>
      </c>
      <c r="G794" s="418">
        <f>IFERROR(_xlfn.STDEV.P(Rankings!$K794:$R794), "TBD")</f>
        <v>1.572330189</v>
      </c>
      <c r="H794" s="418">
        <f>IFERROR(AVERAGE(Rankings!$K794:$O794, Rankings!$Q794:$R794), "TBD")</f>
        <v>3.2</v>
      </c>
      <c r="I794" s="440" t="s">
        <v>1855</v>
      </c>
      <c r="J794" s="440" t="s">
        <v>1856</v>
      </c>
      <c r="K794" s="430">
        <v>2.0</v>
      </c>
      <c r="L794" s="431">
        <v>2.0</v>
      </c>
      <c r="M794" s="431">
        <v>3.0</v>
      </c>
      <c r="N794" s="555"/>
      <c r="O794" s="431">
        <v>6.0</v>
      </c>
      <c r="P794" s="431">
        <v>1.0</v>
      </c>
      <c r="Q794" s="464">
        <v>3.0</v>
      </c>
      <c r="R794" s="465"/>
      <c r="S794" s="466">
        <f>IF(ISTEXT($V794), "TBD", RANK(V794,$V789:$V795))</f>
        <v>2</v>
      </c>
      <c r="T794" s="467">
        <v>1.0</v>
      </c>
      <c r="U794" s="468" t="b">
        <f>Rankings!$S794=Rankings!$T794</f>
        <v>0</v>
      </c>
      <c r="V794" s="553">
        <f>IF(ISTEXT(Rankings!F794), "TBD", (RANK($F794,$F789:$F795) + IF(ISTEXT($H794), 0, (RANK($H794,$H789:$H795)/10)) + (RANK($G794,$G789:$G795)/100)))</f>
        <v>5.52</v>
      </c>
      <c r="W794" s="153"/>
    </row>
    <row r="795" ht="15.75" customHeight="1">
      <c r="A795" s="189"/>
      <c r="B795" s="189"/>
      <c r="C795" s="189"/>
      <c r="D795" s="563">
        <f t="shared" si="115"/>
        <v>46174</v>
      </c>
      <c r="E795" s="131" t="str">
        <f>$Q$1</f>
        <v>Flocco</v>
      </c>
      <c r="F795" s="474">
        <f>IFERROR(AVERAGE(Rankings!$K795:$R795), "TBD")</f>
        <v>3.166666667</v>
      </c>
      <c r="G795" s="474">
        <f>IFERROR(_xlfn.STDEV.P(Rankings!$K795:$R795), "TBD")</f>
        <v>1.950783318</v>
      </c>
      <c r="H795" s="474">
        <f>IFERROR(AVERAGE(Rankings!$K795:$P795, Rankings!$R795), "TBD")</f>
        <v>3.6</v>
      </c>
      <c r="I795" s="475" t="s">
        <v>1857</v>
      </c>
      <c r="J795" s="475" t="s">
        <v>1858</v>
      </c>
      <c r="K795" s="430">
        <v>4.0</v>
      </c>
      <c r="L795" s="431">
        <v>5.0</v>
      </c>
      <c r="M795" s="431">
        <v>6.0</v>
      </c>
      <c r="N795" s="555"/>
      <c r="O795" s="431">
        <v>1.0</v>
      </c>
      <c r="P795" s="431">
        <v>2.0</v>
      </c>
      <c r="Q795" s="464">
        <v>1.0</v>
      </c>
      <c r="R795" s="465"/>
      <c r="S795" s="466">
        <f>IF(ISTEXT($V795), "TBD", RANK(V795,$V789:$V795))</f>
        <v>3</v>
      </c>
      <c r="T795" s="467">
        <v>1.0</v>
      </c>
      <c r="U795" s="468" t="b">
        <f>Rankings!$S795=Rankings!$T795</f>
        <v>0</v>
      </c>
      <c r="V795" s="553">
        <f>IF(ISTEXT(Rankings!F795), "TBD", (RANK($F795,$F789:$F795) + IF(ISTEXT($H795), 0, (RANK($H795,$H789:$H795)/10)) + (RANK($G795,$G789:$G795)/100)))</f>
        <v>4.41</v>
      </c>
      <c r="W795" s="208"/>
    </row>
    <row r="796" ht="15.75" customHeight="1">
      <c r="A796" s="103">
        <v>46176.0</v>
      </c>
      <c r="B796" s="453"/>
      <c r="C796" s="454" t="str">
        <f t="array" ref="C796">INDEX(Rankings!$E796:$E802, MATCH(1, (Rankings!$D796:$D802=$A796)*(Rankings!$U796:$U802=TRUE()), 0))</f>
        <v>Parker</v>
      </c>
      <c r="D796" s="551">
        <f>A796</f>
        <v>46176</v>
      </c>
      <c r="E796" s="455" t="str">
        <f>$K$1</f>
        <v>Logan</v>
      </c>
      <c r="F796" s="400">
        <f>IFERROR(AVERAGE(Rankings!$K796:$R796), "TBD")</f>
        <v>3.166666667</v>
      </c>
      <c r="G796" s="400">
        <f>IFERROR(_xlfn.STDEV.P(Rankings!$K796:$R796), "TBD")</f>
        <v>1.213351648</v>
      </c>
      <c r="H796" s="400">
        <f>IFERROR(AVERAGE(Rankings!$L796:$R796), "TBD")</f>
        <v>3.4</v>
      </c>
      <c r="I796" s="421" t="s">
        <v>1859</v>
      </c>
      <c r="J796" s="421" t="s">
        <v>1860</v>
      </c>
      <c r="K796" s="422">
        <v>2.0</v>
      </c>
      <c r="L796" s="423">
        <v>2.0</v>
      </c>
      <c r="M796" s="423">
        <v>4.0</v>
      </c>
      <c r="N796" s="555"/>
      <c r="O796" s="423">
        <v>4.0</v>
      </c>
      <c r="P796" s="423">
        <v>5.0</v>
      </c>
      <c r="Q796" s="456">
        <v>2.0</v>
      </c>
      <c r="R796" s="457"/>
      <c r="S796" s="458">
        <f>IF(ISTEXT($V796), "TBD", RANK(V796,$V796:$V802))</f>
        <v>3</v>
      </c>
      <c r="T796" s="459">
        <v>1.0</v>
      </c>
      <c r="U796" s="460" t="b">
        <f>Rankings!$S796=Rankings!$T796</f>
        <v>0</v>
      </c>
      <c r="V796" s="553">
        <f>IF(ISTEXT(Rankings!F796), "TBD", (RANK($F796,$F796:$F802) + IF(ISTEXT($H796), 0, (RANK($H796,$H796:$H802)/10)) + (RANK($G796,$G796:$G802)/100)))</f>
        <v>3.35</v>
      </c>
      <c r="W796" s="567"/>
    </row>
    <row r="797" ht="15.75" customHeight="1">
      <c r="A797" s="134"/>
      <c r="B797" s="134"/>
      <c r="C797" s="134"/>
      <c r="D797" s="554">
        <f>D796</f>
        <v>46176</v>
      </c>
      <c r="E797" s="463" t="str">
        <f>$L$1</f>
        <v>Parker</v>
      </c>
      <c r="F797" s="404">
        <f>IFERROR(AVERAGE(Rankings!$K797:$R797), "TBD")</f>
        <v>2</v>
      </c>
      <c r="G797" s="404">
        <f>IFERROR(_xlfn.STDEV.P(Rankings!$K797:$R797), "TBD")</f>
        <v>1.527525232</v>
      </c>
      <c r="H797" s="404">
        <f>IFERROR(AVERAGE(Rankings!$K797, Rankings!$M797:$R797), "TBD")</f>
        <v>2.2</v>
      </c>
      <c r="I797" s="429" t="s">
        <v>1861</v>
      </c>
      <c r="J797" s="429" t="s">
        <v>1862</v>
      </c>
      <c r="K797" s="430">
        <v>1.0</v>
      </c>
      <c r="L797" s="431">
        <v>1.0</v>
      </c>
      <c r="M797" s="431">
        <v>3.0</v>
      </c>
      <c r="N797" s="555"/>
      <c r="O797" s="431">
        <v>5.0</v>
      </c>
      <c r="P797" s="431">
        <v>1.0</v>
      </c>
      <c r="Q797" s="464">
        <v>1.0</v>
      </c>
      <c r="R797" s="465"/>
      <c r="S797" s="466">
        <f>IF(ISTEXT($V797), "TBD", RANK(V797,$V796:$V802))</f>
        <v>1</v>
      </c>
      <c r="T797" s="467">
        <v>1.0</v>
      </c>
      <c r="U797" s="468" t="b">
        <f>Rankings!$S797=Rankings!$T797</f>
        <v>1</v>
      </c>
      <c r="V797" s="553">
        <f>IF(ISTEXT(Rankings!F797), "TBD", (RANK($F797,$F796:$F802) + IF(ISTEXT($H797), 0, (RANK($H797,$H796:$H802)/10)) + (RANK($G797,$G796:$G802)/100)))</f>
        <v>6.61</v>
      </c>
      <c r="W797" s="153"/>
    </row>
    <row r="798" ht="15.75" customHeight="1">
      <c r="A798" s="134"/>
      <c r="B798" s="134"/>
      <c r="C798" s="134"/>
      <c r="D798" s="556">
        <f>D796</f>
        <v>46176</v>
      </c>
      <c r="E798" s="469" t="str">
        <f>$M$1</f>
        <v>Giacomo</v>
      </c>
      <c r="F798" s="408">
        <f>IFERROR(AVERAGE(Rankings!$K798:$R798), "TBD")</f>
        <v>3.166666667</v>
      </c>
      <c r="G798" s="408">
        <f>IFERROR(_xlfn.STDEV.P(Rankings!$K798:$R798), "TBD")</f>
        <v>1.343709625</v>
      </c>
      <c r="H798" s="408">
        <f>IFERROR(AVERAGE(Rankings!$K798:$L798, Rankings!$N798:$R798), "TBD")</f>
        <v>3.4</v>
      </c>
      <c r="I798" s="437" t="s">
        <v>1863</v>
      </c>
      <c r="J798" s="437" t="s">
        <v>1864</v>
      </c>
      <c r="K798" s="430">
        <v>3.0</v>
      </c>
      <c r="L798" s="431">
        <v>4.0</v>
      </c>
      <c r="M798" s="431">
        <v>2.0</v>
      </c>
      <c r="N798" s="555"/>
      <c r="O798" s="431">
        <v>1.0</v>
      </c>
      <c r="P798" s="431">
        <v>4.0</v>
      </c>
      <c r="Q798" s="464">
        <v>5.0</v>
      </c>
      <c r="R798" s="465"/>
      <c r="S798" s="466">
        <f>IF(ISTEXT($V798), "TBD", RANK(V798,$V796:$V802))</f>
        <v>4</v>
      </c>
      <c r="T798" s="467">
        <v>1.0</v>
      </c>
      <c r="U798" s="468" t="b">
        <f>Rankings!$S798=Rankings!$T798</f>
        <v>0</v>
      </c>
      <c r="V798" s="553">
        <f>IF(ISTEXT(Rankings!F798), "TBD", (RANK($F798,$F796:$F802) + IF(ISTEXT($H798), 0, (RANK($H798,$H796:$H802)/10)) + (RANK($G798,$G796:$G802)/100)))</f>
        <v>3.33</v>
      </c>
      <c r="W798" s="153"/>
    </row>
    <row r="799" ht="15.75" customHeight="1">
      <c r="A799" s="134"/>
      <c r="B799" s="134"/>
      <c r="C799" s="134"/>
      <c r="D799" s="557">
        <f>D796</f>
        <v>46176</v>
      </c>
      <c r="E799" s="470" t="str">
        <f>$N$1</f>
        <v>Rosey</v>
      </c>
      <c r="F799" s="411" t="str">
        <f>IFERROR(AVERAGE(Rankings!$K799:$R799), "TBD")</f>
        <v>TBD</v>
      </c>
      <c r="G799" s="411" t="str">
        <f>IFERROR(_xlfn.STDEV.P(Rankings!$K799:$R799), "TBD")</f>
        <v>TBD</v>
      </c>
      <c r="H799" s="411" t="str">
        <f>IFERROR(AVERAGE(Rankings!$K799:$M799, Rankings!$O799:$R799), "TBD")</f>
        <v>TBD</v>
      </c>
      <c r="I799" s="568"/>
      <c r="J799" s="568"/>
      <c r="K799" s="565"/>
      <c r="L799" s="566"/>
      <c r="M799" s="431" t="s">
        <v>1865</v>
      </c>
      <c r="N799" s="555"/>
      <c r="O799" s="431" t="s">
        <v>1697</v>
      </c>
      <c r="P799" s="431" t="s">
        <v>1698</v>
      </c>
      <c r="Q799" s="464" t="s">
        <v>1766</v>
      </c>
      <c r="R799" s="465"/>
      <c r="S799" s="466" t="str">
        <f>IF(ISTEXT($V799), "TBD", RANK(V799,$V796:$V802))</f>
        <v>TBD</v>
      </c>
      <c r="T799" s="467">
        <v>1.0</v>
      </c>
      <c r="U799" s="468" t="b">
        <f>Rankings!$S799=Rankings!$T799</f>
        <v>0</v>
      </c>
      <c r="V799" s="553" t="str">
        <f>IF(ISTEXT(Rankings!F799), "TBD", (RANK($F799,$F796:$F802) + IF(ISTEXT($H799), 0, (RANK($H799,$H796:$H802)/10)) + (RANK($G799,$G796:$G802)/100)))</f>
        <v>TBD</v>
      </c>
      <c r="W799" s="153"/>
    </row>
    <row r="800" ht="15.75" customHeight="1">
      <c r="A800" s="134"/>
      <c r="B800" s="134"/>
      <c r="C800" s="134"/>
      <c r="D800" s="561">
        <f t="shared" ref="D800:D802" si="116">D796</f>
        <v>46176</v>
      </c>
      <c r="E800" s="471" t="str">
        <f>$O$1</f>
        <v>TTAC</v>
      </c>
      <c r="F800" s="414">
        <f>IFERROR(AVERAGE(Rankings!$K800:$R800), "TBD")</f>
        <v>3</v>
      </c>
      <c r="G800" s="414">
        <f>IFERROR(_xlfn.STDEV.P(Rankings!$K800:$R800), "TBD")</f>
        <v>1.290994449</v>
      </c>
      <c r="H800" s="414">
        <f>IFERROR(AVERAGE(Rankings!$K800:$N800, Rankings!$P800:$R800), "TBD")</f>
        <v>3.2</v>
      </c>
      <c r="I800" s="439" t="s">
        <v>1866</v>
      </c>
      <c r="J800" s="439" t="s">
        <v>1867</v>
      </c>
      <c r="K800" s="430">
        <v>5.0</v>
      </c>
      <c r="L800" s="431">
        <v>3.0</v>
      </c>
      <c r="M800" s="431">
        <v>1.0</v>
      </c>
      <c r="N800" s="555"/>
      <c r="O800" s="431">
        <v>2.0</v>
      </c>
      <c r="P800" s="431">
        <v>3.0</v>
      </c>
      <c r="Q800" s="464">
        <v>4.0</v>
      </c>
      <c r="R800" s="465"/>
      <c r="S800" s="466">
        <f>IF(ISTEXT($V800), "TBD", RANK(V800,$V796:$V802))</f>
        <v>2</v>
      </c>
      <c r="T800" s="467">
        <v>1.0</v>
      </c>
      <c r="U800" s="468" t="b">
        <f>Rankings!$S800=Rankings!$T800</f>
        <v>0</v>
      </c>
      <c r="V800" s="553">
        <f>IF(ISTEXT(Rankings!F800), "TBD", (RANK($F800,$F796:$F802) + IF(ISTEXT($H800), 0, (RANK($H800,$H796:$H802)/10)) + (RANK($G800,$G796:$G802)/100)))</f>
        <v>5.54</v>
      </c>
      <c r="W800" s="153"/>
    </row>
    <row r="801" ht="15.75" customHeight="1">
      <c r="A801" s="134"/>
      <c r="B801" s="134"/>
      <c r="C801" s="134"/>
      <c r="D801" s="562">
        <f t="shared" si="116"/>
        <v>46176</v>
      </c>
      <c r="E801" s="472" t="str">
        <f>$P$1</f>
        <v>Weston</v>
      </c>
      <c r="F801" s="418">
        <f>IFERROR(AVERAGE(Rankings!$K801:$R801), "TBD")</f>
        <v>4.5</v>
      </c>
      <c r="G801" s="418">
        <f>IFERROR(_xlfn.STDEV.P(Rankings!$K801:$R801), "TBD")</f>
        <v>1.5</v>
      </c>
      <c r="H801" s="418">
        <f>IFERROR(AVERAGE(Rankings!$K801:$O801, Rankings!$Q801:$R801), "TBD")</f>
        <v>5</v>
      </c>
      <c r="I801" s="440" t="s">
        <v>1868</v>
      </c>
      <c r="J801" s="440" t="s">
        <v>1869</v>
      </c>
      <c r="K801" s="430">
        <v>6.0</v>
      </c>
      <c r="L801" s="431">
        <v>5.0</v>
      </c>
      <c r="M801" s="431">
        <v>5.0</v>
      </c>
      <c r="N801" s="555"/>
      <c r="O801" s="431">
        <v>3.0</v>
      </c>
      <c r="P801" s="431">
        <v>2.0</v>
      </c>
      <c r="Q801" s="464">
        <v>6.0</v>
      </c>
      <c r="R801" s="465"/>
      <c r="S801" s="466">
        <f>IF(ISTEXT($V801), "TBD", RANK(V801,$V796:$V802))</f>
        <v>5</v>
      </c>
      <c r="T801" s="467">
        <v>1.0</v>
      </c>
      <c r="U801" s="468" t="b">
        <f>Rankings!$S801=Rankings!$T801</f>
        <v>0</v>
      </c>
      <c r="V801" s="553">
        <f>IF(ISTEXT(Rankings!F801), "TBD", (RANK($F801,$F796:$F802) + IF(ISTEXT($H801), 0, (RANK($H801,$H796:$H802)/10)) + (RANK($G801,$G796:$G802)/100)))</f>
        <v>2.22</v>
      </c>
      <c r="W801" s="153"/>
    </row>
    <row r="802" ht="15.75" customHeight="1">
      <c r="A802" s="189"/>
      <c r="B802" s="189"/>
      <c r="C802" s="189"/>
      <c r="D802" s="563">
        <f t="shared" si="116"/>
        <v>46176</v>
      </c>
      <c r="E802" s="131" t="str">
        <f>$Q$1</f>
        <v>Flocco</v>
      </c>
      <c r="F802" s="474">
        <f>IFERROR(AVERAGE(Rankings!$K802:$R802), "TBD")</f>
        <v>5.166666667</v>
      </c>
      <c r="G802" s="474">
        <f>IFERROR(_xlfn.STDEV.P(Rankings!$K802:$R802), "TBD")</f>
        <v>1.213351648</v>
      </c>
      <c r="H802" s="474">
        <f>IFERROR(AVERAGE(Rankings!$K802:$P802, Rankings!$R802), "TBD")</f>
        <v>5.6</v>
      </c>
      <c r="I802" s="475" t="s">
        <v>1870</v>
      </c>
      <c r="J802" s="475" t="s">
        <v>1871</v>
      </c>
      <c r="K802" s="430">
        <v>4.0</v>
      </c>
      <c r="L802" s="431">
        <v>6.0</v>
      </c>
      <c r="M802" s="431">
        <v>6.0</v>
      </c>
      <c r="N802" s="555"/>
      <c r="O802" s="431">
        <v>6.0</v>
      </c>
      <c r="P802" s="431">
        <v>6.0</v>
      </c>
      <c r="Q802" s="464">
        <v>3.0</v>
      </c>
      <c r="R802" s="465"/>
      <c r="S802" s="466">
        <f>IF(ISTEXT($V802), "TBD", RANK(V802,$V796:$V802))</f>
        <v>6</v>
      </c>
      <c r="T802" s="467">
        <v>1.0</v>
      </c>
      <c r="U802" s="468" t="b">
        <f>Rankings!$S802=Rankings!$T802</f>
        <v>0</v>
      </c>
      <c r="V802" s="553">
        <f>IF(ISTEXT(Rankings!F802), "TBD", (RANK($F802,$F796:$F802) + IF(ISTEXT($H802), 0, (RANK($H802,$H796:$H802)/10)) + (RANK($G802,$G796:$G802)/100)))</f>
        <v>1.15</v>
      </c>
      <c r="W802" s="208"/>
    </row>
    <row r="803" ht="15.75" customHeight="1">
      <c r="A803" s="103">
        <v>46178.0</v>
      </c>
      <c r="B803" s="453"/>
      <c r="C803" s="454" t="str">
        <f t="array" ref="C803">INDEX(Rankings!$E803:$E809, MATCH(1, (Rankings!$D803:$D809=$A803)*(Rankings!$U803:$U809=TRUE()), 0))</f>
        <v>Giacomo</v>
      </c>
      <c r="D803" s="551">
        <f>A803</f>
        <v>46178</v>
      </c>
      <c r="E803" s="455" t="str">
        <f>$K$1</f>
        <v>Logan</v>
      </c>
      <c r="F803" s="400">
        <f>IFERROR(AVERAGE(Rankings!$K803:$R803), "TBD")</f>
        <v>3.166666667</v>
      </c>
      <c r="G803" s="400">
        <f>IFERROR(_xlfn.STDEV.P(Rankings!$K803:$R803), "TBD")</f>
        <v>1.572330189</v>
      </c>
      <c r="H803" s="400">
        <f>IFERROR(AVERAGE(Rankings!$L803:$R803), "TBD")</f>
        <v>3.6</v>
      </c>
      <c r="I803" s="421" t="s">
        <v>1872</v>
      </c>
      <c r="J803" s="421" t="s">
        <v>1873</v>
      </c>
      <c r="K803" s="422">
        <v>1.0</v>
      </c>
      <c r="L803" s="423">
        <v>2.0</v>
      </c>
      <c r="M803" s="423">
        <v>5.0</v>
      </c>
      <c r="N803" s="555"/>
      <c r="O803" s="423">
        <v>5.0</v>
      </c>
      <c r="P803" s="423">
        <v>2.0</v>
      </c>
      <c r="Q803" s="456">
        <v>4.0</v>
      </c>
      <c r="R803" s="457"/>
      <c r="S803" s="458">
        <f>IF(ISTEXT($V803), "TBD", RANK(V803,$V803:$V809))</f>
        <v>2</v>
      </c>
      <c r="T803" s="459">
        <v>1.0</v>
      </c>
      <c r="U803" s="460" t="b">
        <f>Rankings!$S803=Rankings!$T803</f>
        <v>0</v>
      </c>
      <c r="V803" s="553">
        <f>IF(ISTEXT(Rankings!F803), "TBD", (RANK($F803,$F803:$F809) + IF(ISTEXT($H803), 0, (RANK($H803,$H803:$H809)/10)) + (RANK($G803,$G803:$G809)/100)))</f>
        <v>5.53</v>
      </c>
      <c r="W803" s="567"/>
    </row>
    <row r="804" ht="15.75" customHeight="1">
      <c r="A804" s="134"/>
      <c r="B804" s="134"/>
      <c r="C804" s="134"/>
      <c r="D804" s="554">
        <f>D803</f>
        <v>46178</v>
      </c>
      <c r="E804" s="463" t="str">
        <f>$L$1</f>
        <v>Parker</v>
      </c>
      <c r="F804" s="404">
        <f>IFERROR(AVERAGE(Rankings!$K804:$R804), "TBD")</f>
        <v>3.666666667</v>
      </c>
      <c r="G804" s="404">
        <f>IFERROR(_xlfn.STDEV.P(Rankings!$K804:$R804), "TBD")</f>
        <v>1.247219129</v>
      </c>
      <c r="H804" s="404">
        <f>IFERROR(AVERAGE(Rankings!$K804, Rankings!$M804:$R804), "TBD")</f>
        <v>3.8</v>
      </c>
      <c r="I804" s="429" t="s">
        <v>1874</v>
      </c>
      <c r="J804" s="429" t="s">
        <v>1875</v>
      </c>
      <c r="K804" s="430">
        <v>2.0</v>
      </c>
      <c r="L804" s="431">
        <v>3.0</v>
      </c>
      <c r="M804" s="431">
        <v>3.0</v>
      </c>
      <c r="N804" s="555"/>
      <c r="O804" s="431">
        <v>4.0</v>
      </c>
      <c r="P804" s="431">
        <v>4.0</v>
      </c>
      <c r="Q804" s="464">
        <v>6.0</v>
      </c>
      <c r="R804" s="465"/>
      <c r="S804" s="466">
        <f>IF(ISTEXT($V804), "TBD", RANK(V804,$V803:$V809))</f>
        <v>3</v>
      </c>
      <c r="T804" s="467">
        <v>1.0</v>
      </c>
      <c r="U804" s="468" t="b">
        <f>Rankings!$S804=Rankings!$T804</f>
        <v>0</v>
      </c>
      <c r="V804" s="553">
        <f>IF(ISTEXT(Rankings!F804), "TBD", (RANK($F804,$F803:$F809) + IF(ISTEXT($H804), 0, (RANK($H804,$H803:$H809)/10)) + (RANK($G804,$G803:$G809)/100)))</f>
        <v>3.34</v>
      </c>
      <c r="W804" s="153"/>
    </row>
    <row r="805" ht="15.75" customHeight="1">
      <c r="A805" s="134"/>
      <c r="B805" s="134"/>
      <c r="C805" s="134"/>
      <c r="D805" s="556">
        <f>D803</f>
        <v>46178</v>
      </c>
      <c r="E805" s="469" t="str">
        <f>$M$1</f>
        <v>Giacomo</v>
      </c>
      <c r="F805" s="408">
        <f>IFERROR(AVERAGE(Rankings!$K805:$R805), "TBD")</f>
        <v>1.666666667</v>
      </c>
      <c r="G805" s="408">
        <f>IFERROR(_xlfn.STDEV.P(Rankings!$K805:$R805), "TBD")</f>
        <v>0.9428090416</v>
      </c>
      <c r="H805" s="408">
        <f>IFERROR(AVERAGE(Rankings!$K805:$L805, Rankings!$N805:$R805), "TBD")</f>
        <v>1.8</v>
      </c>
      <c r="I805" s="437" t="s">
        <v>1876</v>
      </c>
      <c r="J805" s="437" t="s">
        <v>1877</v>
      </c>
      <c r="K805" s="430">
        <v>3.0</v>
      </c>
      <c r="L805" s="431">
        <v>1.0</v>
      </c>
      <c r="M805" s="431">
        <v>1.0</v>
      </c>
      <c r="N805" s="555"/>
      <c r="O805" s="431">
        <v>1.0</v>
      </c>
      <c r="P805" s="431">
        <v>1.0</v>
      </c>
      <c r="Q805" s="464">
        <v>3.0</v>
      </c>
      <c r="R805" s="465"/>
      <c r="S805" s="466">
        <f>IF(ISTEXT($V805), "TBD", RANK(V805,$V803:$V809))</f>
        <v>1</v>
      </c>
      <c r="T805" s="467">
        <v>1.0</v>
      </c>
      <c r="U805" s="468" t="b">
        <f>Rankings!$S805=Rankings!$T805</f>
        <v>1</v>
      </c>
      <c r="V805" s="553">
        <f>IF(ISTEXT(Rankings!F805), "TBD", (RANK($F805,$F803:$F809) + IF(ISTEXT($H805), 0, (RANK($H805,$H803:$H809)/10)) + (RANK($G805,$G803:$G809)/100)))</f>
        <v>6.66</v>
      </c>
      <c r="W805" s="153"/>
    </row>
    <row r="806" ht="15.75" customHeight="1">
      <c r="A806" s="134"/>
      <c r="B806" s="134"/>
      <c r="C806" s="134"/>
      <c r="D806" s="557">
        <f>D803</f>
        <v>46178</v>
      </c>
      <c r="E806" s="470" t="str">
        <f>$N$1</f>
        <v>Rosey</v>
      </c>
      <c r="F806" s="411" t="str">
        <f>IFERROR(AVERAGE(Rankings!$K806:$R806), "TBD")</f>
        <v>TBD</v>
      </c>
      <c r="G806" s="411" t="str">
        <f>IFERROR(_xlfn.STDEV.P(Rankings!$K806:$R806), "TBD")</f>
        <v>TBD</v>
      </c>
      <c r="H806" s="411" t="str">
        <f>IFERROR(AVERAGE(Rankings!$K806:$M806, Rankings!$O806:$R806), "TBD")</f>
        <v>TBD</v>
      </c>
      <c r="I806" s="568"/>
      <c r="J806" s="568"/>
      <c r="K806" s="565"/>
      <c r="L806" s="566"/>
      <c r="M806" s="431" t="s">
        <v>1878</v>
      </c>
      <c r="N806" s="555"/>
      <c r="O806" s="431" t="s">
        <v>1697</v>
      </c>
      <c r="P806" s="431" t="s">
        <v>1698</v>
      </c>
      <c r="Q806" s="464" t="s">
        <v>1766</v>
      </c>
      <c r="R806" s="465"/>
      <c r="S806" s="466" t="str">
        <f>IF(ISTEXT($V806), "TBD", RANK(V806,$V803:$V809))</f>
        <v>TBD</v>
      </c>
      <c r="T806" s="467">
        <v>1.0</v>
      </c>
      <c r="U806" s="468" t="b">
        <f>Rankings!$S806=Rankings!$T806</f>
        <v>0</v>
      </c>
      <c r="V806" s="553" t="str">
        <f>IF(ISTEXT(Rankings!F806), "TBD", (RANK($F806,$F803:$F809) + IF(ISTEXT($H806), 0, (RANK($H806,$H803:$H809)/10)) + (RANK($G806,$G803:$G809)/100)))</f>
        <v>TBD</v>
      </c>
      <c r="W806" s="153"/>
    </row>
    <row r="807" ht="15.75" customHeight="1">
      <c r="A807" s="134"/>
      <c r="B807" s="134"/>
      <c r="C807" s="134"/>
      <c r="D807" s="561">
        <f t="shared" ref="D807:D809" si="117">D803</f>
        <v>46178</v>
      </c>
      <c r="E807" s="471" t="str">
        <f>$O$1</f>
        <v>TTAC</v>
      </c>
      <c r="F807" s="414">
        <f>IFERROR(AVERAGE(Rankings!$K807:$R807), "TBD")</f>
        <v>4.166666667</v>
      </c>
      <c r="G807" s="414">
        <f>IFERROR(_xlfn.STDEV.P(Rankings!$K807:$R807), "TBD")</f>
        <v>1.067187373</v>
      </c>
      <c r="H807" s="414">
        <f>IFERROR(AVERAGE(Rankings!$K807:$N807, Rankings!$P807:$R807), "TBD")</f>
        <v>4.6</v>
      </c>
      <c r="I807" s="439" t="s">
        <v>1879</v>
      </c>
      <c r="J807" s="439" t="s">
        <v>1880</v>
      </c>
      <c r="K807" s="430">
        <v>5.0</v>
      </c>
      <c r="L807" s="431">
        <v>4.0</v>
      </c>
      <c r="M807" s="431">
        <v>4.0</v>
      </c>
      <c r="N807" s="555"/>
      <c r="O807" s="431">
        <v>2.0</v>
      </c>
      <c r="P807" s="431">
        <v>5.0</v>
      </c>
      <c r="Q807" s="464">
        <v>5.0</v>
      </c>
      <c r="R807" s="465"/>
      <c r="S807" s="466">
        <f>IF(ISTEXT($V807), "TBD", RANK(V807,$V803:$V809))</f>
        <v>5</v>
      </c>
      <c r="T807" s="467">
        <v>1.0</v>
      </c>
      <c r="U807" s="468" t="b">
        <f>Rankings!$S807=Rankings!$T807</f>
        <v>0</v>
      </c>
      <c r="V807" s="553">
        <f>IF(ISTEXT(Rankings!F807), "TBD", (RANK($F807,$F803:$F809) + IF(ISTEXT($H807), 0, (RANK($H807,$H803:$H809)/10)) + (RANK($G807,$G803:$G809)/100)))</f>
        <v>2.25</v>
      </c>
      <c r="W807" s="153"/>
    </row>
    <row r="808" ht="15.75" customHeight="1">
      <c r="A808" s="134"/>
      <c r="B808" s="134"/>
      <c r="C808" s="134"/>
      <c r="D808" s="562">
        <f t="shared" si="117"/>
        <v>46178</v>
      </c>
      <c r="E808" s="472" t="str">
        <f>$P$1</f>
        <v>Weston</v>
      </c>
      <c r="F808" s="418">
        <f>IFERROR(AVERAGE(Rankings!$K808:$R808), "TBD")</f>
        <v>3.666666667</v>
      </c>
      <c r="G808" s="418">
        <f>IFERROR(_xlfn.STDEV.P(Rankings!$K808:$R808), "TBD")</f>
        <v>1.699673171</v>
      </c>
      <c r="H808" s="418">
        <f>IFERROR(AVERAGE(Rankings!$K808:$O808, Rankings!$Q808:$R808), "TBD")</f>
        <v>3.8</v>
      </c>
      <c r="I808" s="440" t="s">
        <v>1881</v>
      </c>
      <c r="J808" s="440" t="s">
        <v>1882</v>
      </c>
      <c r="K808" s="430">
        <v>6.0</v>
      </c>
      <c r="L808" s="431">
        <v>6.0</v>
      </c>
      <c r="M808" s="431">
        <v>2.0</v>
      </c>
      <c r="N808" s="555"/>
      <c r="O808" s="431">
        <v>3.0</v>
      </c>
      <c r="P808" s="431">
        <v>3.0</v>
      </c>
      <c r="Q808" s="464">
        <v>2.0</v>
      </c>
      <c r="R808" s="465"/>
      <c r="S808" s="466">
        <f>IF(ISTEXT($V808), "TBD", RANK(V808,$V803:$V809))</f>
        <v>4</v>
      </c>
      <c r="T808" s="467">
        <v>1.0</v>
      </c>
      <c r="U808" s="468" t="b">
        <f>Rankings!$S808=Rankings!$T808</f>
        <v>0</v>
      </c>
      <c r="V808" s="553">
        <f>IF(ISTEXT(Rankings!F808), "TBD", (RANK($F808,$F803:$F809) + IF(ISTEXT($H808), 0, (RANK($H808,$H803:$H809)/10)) + (RANK($G808,$G803:$G809)/100)))</f>
        <v>3.32</v>
      </c>
      <c r="W808" s="153"/>
    </row>
    <row r="809" ht="15.75" customHeight="1">
      <c r="A809" s="189"/>
      <c r="B809" s="189"/>
      <c r="C809" s="189"/>
      <c r="D809" s="563">
        <f t="shared" si="117"/>
        <v>46178</v>
      </c>
      <c r="E809" s="131" t="str">
        <f>$Q$1</f>
        <v>Flocco</v>
      </c>
      <c r="F809" s="474">
        <f>IFERROR(AVERAGE(Rankings!$K809:$R809), "TBD")</f>
        <v>4.666666667</v>
      </c>
      <c r="G809" s="474">
        <f>IFERROR(_xlfn.STDEV.P(Rankings!$K809:$R809), "TBD")</f>
        <v>1.795054936</v>
      </c>
      <c r="H809" s="474">
        <f>IFERROR(AVERAGE(Rankings!$K809:$P809, Rankings!$R809), "TBD")</f>
        <v>5.4</v>
      </c>
      <c r="I809" s="475" t="s">
        <v>1883</v>
      </c>
      <c r="J809" s="475" t="s">
        <v>1884</v>
      </c>
      <c r="K809" s="430">
        <v>4.0</v>
      </c>
      <c r="L809" s="431">
        <v>5.0</v>
      </c>
      <c r="M809" s="431">
        <v>6.0</v>
      </c>
      <c r="N809" s="555"/>
      <c r="O809" s="431">
        <v>6.0</v>
      </c>
      <c r="P809" s="431">
        <v>6.0</v>
      </c>
      <c r="Q809" s="464">
        <v>1.0</v>
      </c>
      <c r="R809" s="465"/>
      <c r="S809" s="466">
        <f>IF(ISTEXT($V809), "TBD", RANK(V809,$V803:$V809))</f>
        <v>6</v>
      </c>
      <c r="T809" s="467">
        <v>1.0</v>
      </c>
      <c r="U809" s="468" t="b">
        <f>Rankings!$S809=Rankings!$T809</f>
        <v>0</v>
      </c>
      <c r="V809" s="553">
        <f>IF(ISTEXT(Rankings!F809), "TBD", (RANK($F809,$F803:$F809) + IF(ISTEXT($H809), 0, (RANK($H809,$H803:$H809)/10)) + (RANK($G809,$G803:$G809)/100)))</f>
        <v>1.11</v>
      </c>
      <c r="W809" s="208"/>
    </row>
    <row r="810" ht="15.75" customHeight="1">
      <c r="A810" s="103">
        <v>46181.0</v>
      </c>
      <c r="B810" s="453"/>
      <c r="C810" s="454" t="str">
        <f t="array" ref="C810">INDEX(Rankings!$E810:$E816, MATCH(1, (Rankings!$D810:$D816=$A810)*(Rankings!$U810:$U816=TRUE()), 0))</f>
        <v>Logan</v>
      </c>
      <c r="D810" s="551">
        <f>A810</f>
        <v>46181</v>
      </c>
      <c r="E810" s="455" t="str">
        <f>$K$1</f>
        <v>Logan</v>
      </c>
      <c r="F810" s="400">
        <f>IFERROR(AVERAGE(Rankings!$K810:$R810), "TBD")</f>
        <v>1.666666667</v>
      </c>
      <c r="G810" s="400">
        <f>IFERROR(_xlfn.STDEV.P(Rankings!$K810:$R810), "TBD")</f>
        <v>0.7453559925</v>
      </c>
      <c r="H810" s="400">
        <f>IFERROR(AVERAGE(Rankings!$L810:$R810), "TBD")</f>
        <v>1.6</v>
      </c>
      <c r="I810" s="421" t="s">
        <v>1885</v>
      </c>
      <c r="J810" s="421" t="s">
        <v>1886</v>
      </c>
      <c r="K810" s="422">
        <v>2.0</v>
      </c>
      <c r="L810" s="423">
        <v>1.0</v>
      </c>
      <c r="M810" s="423">
        <v>1.0</v>
      </c>
      <c r="N810" s="555"/>
      <c r="O810" s="423">
        <v>3.0</v>
      </c>
      <c r="P810" s="423">
        <v>2.0</v>
      </c>
      <c r="Q810" s="456">
        <v>1.0</v>
      </c>
      <c r="R810" s="457"/>
      <c r="S810" s="458">
        <f>IF(ISTEXT($V810), "TBD", RANK(V810,$V810:$V816))</f>
        <v>1</v>
      </c>
      <c r="T810" s="459">
        <v>1.0</v>
      </c>
      <c r="U810" s="460" t="b">
        <f>Rankings!$S810=Rankings!$T810</f>
        <v>1</v>
      </c>
      <c r="V810" s="553">
        <f>IF(ISTEXT(Rankings!F810), "TBD", (RANK($F810,$F810:$F816) + IF(ISTEXT($H810), 0, (RANK($H810,$H810:$H816)/10)) + (RANK($G810,$G810:$G816)/100)))</f>
        <v>6.65</v>
      </c>
      <c r="W810" s="567"/>
    </row>
    <row r="811" ht="15.75" customHeight="1">
      <c r="A811" s="134"/>
      <c r="B811" s="134"/>
      <c r="C811" s="134"/>
      <c r="D811" s="554">
        <f>D810</f>
        <v>46181</v>
      </c>
      <c r="E811" s="463" t="str">
        <f>$L$1</f>
        <v>Parker</v>
      </c>
      <c r="F811" s="404">
        <f>IFERROR(AVERAGE(Rankings!$K811:$R811), "TBD")</f>
        <v>4</v>
      </c>
      <c r="G811" s="404">
        <f>IFERROR(_xlfn.STDEV.P(Rankings!$K811:$R811), "TBD")</f>
        <v>0.5773502692</v>
      </c>
      <c r="H811" s="404">
        <f>IFERROR(AVERAGE(Rankings!$K811, Rankings!$M811:$R811), "TBD")</f>
        <v>4</v>
      </c>
      <c r="I811" s="429" t="s">
        <v>1887</v>
      </c>
      <c r="J811" s="429" t="s">
        <v>1888</v>
      </c>
      <c r="K811" s="430">
        <v>4.0</v>
      </c>
      <c r="L811" s="431">
        <v>4.0</v>
      </c>
      <c r="M811" s="431">
        <v>5.0</v>
      </c>
      <c r="N811" s="555"/>
      <c r="O811" s="431">
        <v>4.0</v>
      </c>
      <c r="P811" s="431">
        <v>4.0</v>
      </c>
      <c r="Q811" s="464">
        <v>3.0</v>
      </c>
      <c r="R811" s="465"/>
      <c r="S811" s="466">
        <f>IF(ISTEXT($V811), "TBD", RANK(V811,$V810:$V816))</f>
        <v>4</v>
      </c>
      <c r="T811" s="467">
        <v>1.0</v>
      </c>
      <c r="U811" s="468" t="b">
        <f>Rankings!$S811=Rankings!$T811</f>
        <v>0</v>
      </c>
      <c r="V811" s="553">
        <f>IF(ISTEXT(Rankings!F811), "TBD", (RANK($F811,$F810:$F816) + IF(ISTEXT($H811), 0, (RANK($H811,$H810:$H816)/10)) + (RANK($G811,$G810:$G816)/100)))</f>
        <v>3.36</v>
      </c>
      <c r="W811" s="153"/>
    </row>
    <row r="812" ht="15.75" customHeight="1">
      <c r="A812" s="134"/>
      <c r="B812" s="134"/>
      <c r="C812" s="134"/>
      <c r="D812" s="556">
        <f>D810</f>
        <v>46181</v>
      </c>
      <c r="E812" s="469" t="str">
        <f>$M$1</f>
        <v>Giacomo</v>
      </c>
      <c r="F812" s="408">
        <f>IFERROR(AVERAGE(Rankings!$K812:$R812), "TBD")</f>
        <v>2.5</v>
      </c>
      <c r="G812" s="408">
        <f>IFERROR(_xlfn.STDEV.P(Rankings!$K812:$R812), "TBD")</f>
        <v>1.707825128</v>
      </c>
      <c r="H812" s="408">
        <f>IFERROR(AVERAGE(Rankings!$K812:$L812, Rankings!$N812:$R812), "TBD")</f>
        <v>2.6</v>
      </c>
      <c r="I812" s="437" t="s">
        <v>1889</v>
      </c>
      <c r="J812" s="437" t="s">
        <v>1890</v>
      </c>
      <c r="K812" s="430">
        <v>1.0</v>
      </c>
      <c r="L812" s="431">
        <v>2.0</v>
      </c>
      <c r="M812" s="431">
        <v>2.0</v>
      </c>
      <c r="N812" s="555"/>
      <c r="O812" s="431">
        <v>1.0</v>
      </c>
      <c r="P812" s="431">
        <v>3.0</v>
      </c>
      <c r="Q812" s="464">
        <v>6.0</v>
      </c>
      <c r="R812" s="465"/>
      <c r="S812" s="466">
        <f>IF(ISTEXT($V812), "TBD", RANK(V812,$V810:$V816))</f>
        <v>2</v>
      </c>
      <c r="T812" s="467">
        <v>1.0</v>
      </c>
      <c r="U812" s="468" t="b">
        <f>Rankings!$S812=Rankings!$T812</f>
        <v>0</v>
      </c>
      <c r="V812" s="553">
        <f>IF(ISTEXT(Rankings!F812), "TBD", (RANK($F812,$F810:$F816) + IF(ISTEXT($H812), 0, (RANK($H812,$H810:$H816)/10)) + (RANK($G812,$G810:$G816)/100)))</f>
        <v>5.51</v>
      </c>
      <c r="W812" s="153"/>
    </row>
    <row r="813" ht="15.75" customHeight="1">
      <c r="A813" s="134"/>
      <c r="B813" s="134"/>
      <c r="C813" s="134"/>
      <c r="D813" s="557">
        <f>D810</f>
        <v>46181</v>
      </c>
      <c r="E813" s="470" t="str">
        <f>$N$1</f>
        <v>Rosey</v>
      </c>
      <c r="F813" s="411" t="str">
        <f>IFERROR(AVERAGE(Rankings!$K813:$R813), "TBD")</f>
        <v>TBD</v>
      </c>
      <c r="G813" s="411" t="str">
        <f>IFERROR(_xlfn.STDEV.P(Rankings!$K813:$R813), "TBD")</f>
        <v>TBD</v>
      </c>
      <c r="H813" s="411" t="str">
        <f>IFERROR(AVERAGE(Rankings!$K813:$M813, Rankings!$O813:$R813), "TBD")</f>
        <v>TBD</v>
      </c>
      <c r="I813" s="568"/>
      <c r="J813" s="568"/>
      <c r="K813" s="565"/>
      <c r="L813" s="566"/>
      <c r="M813" s="431" t="s">
        <v>1891</v>
      </c>
      <c r="N813" s="555"/>
      <c r="O813" s="431" t="s">
        <v>1697</v>
      </c>
      <c r="P813" s="431" t="s">
        <v>1698</v>
      </c>
      <c r="Q813" s="464" t="s">
        <v>1766</v>
      </c>
      <c r="R813" s="465"/>
      <c r="S813" s="466" t="str">
        <f>IF(ISTEXT($V813), "TBD", RANK(V813,$V810:$V816))</f>
        <v>TBD</v>
      </c>
      <c r="T813" s="467">
        <v>1.0</v>
      </c>
      <c r="U813" s="468" t="b">
        <f>Rankings!$S813=Rankings!$T813</f>
        <v>0</v>
      </c>
      <c r="V813" s="553" t="str">
        <f>IF(ISTEXT(Rankings!F813), "TBD", (RANK($F813,$F810:$F816) + IF(ISTEXT($H813), 0, (RANK($H813,$H810:$H816)/10)) + (RANK($G813,$G810:$G816)/100)))</f>
        <v>TBD</v>
      </c>
      <c r="W813" s="153"/>
    </row>
    <row r="814" ht="15.75" customHeight="1">
      <c r="A814" s="134"/>
      <c r="B814" s="134"/>
      <c r="C814" s="134"/>
      <c r="D814" s="561">
        <f t="shared" ref="D814:D816" si="118">D810</f>
        <v>46181</v>
      </c>
      <c r="E814" s="471" t="str">
        <f>$O$1</f>
        <v>TTAC</v>
      </c>
      <c r="F814" s="414">
        <f>IFERROR(AVERAGE(Rankings!$K814:$R814), "TBD")</f>
        <v>4.833333333</v>
      </c>
      <c r="G814" s="414">
        <f>IFERROR(_xlfn.STDEV.P(Rankings!$K814:$R814), "TBD")</f>
        <v>1.343709625</v>
      </c>
      <c r="H814" s="414">
        <f>IFERROR(AVERAGE(Rankings!$K814:$N814, Rankings!$P814:$R814), "TBD")</f>
        <v>5.4</v>
      </c>
      <c r="I814" s="439" t="s">
        <v>1892</v>
      </c>
      <c r="J814" s="439" t="s">
        <v>1893</v>
      </c>
      <c r="K814" s="430">
        <v>5.0</v>
      </c>
      <c r="L814" s="431">
        <v>6.0</v>
      </c>
      <c r="M814" s="431">
        <v>6.0</v>
      </c>
      <c r="N814" s="555"/>
      <c r="O814" s="431">
        <v>2.0</v>
      </c>
      <c r="P814" s="431">
        <v>5.0</v>
      </c>
      <c r="Q814" s="464">
        <v>5.0</v>
      </c>
      <c r="R814" s="465"/>
      <c r="S814" s="466">
        <f>IF(ISTEXT($V814), "TBD", RANK(V814,$V810:$V816))</f>
        <v>5</v>
      </c>
      <c r="T814" s="467">
        <v>1.0</v>
      </c>
      <c r="U814" s="468" t="b">
        <f>Rankings!$S814=Rankings!$T814</f>
        <v>0</v>
      </c>
      <c r="V814" s="553">
        <f>IF(ISTEXT(Rankings!F814), "TBD", (RANK($F814,$F810:$F816) + IF(ISTEXT($H814), 0, (RANK($H814,$H810:$H816)/10)) + (RANK($G814,$G810:$G816)/100)))</f>
        <v>1.13</v>
      </c>
      <c r="W814" s="153"/>
    </row>
    <row r="815" ht="15.75" customHeight="1">
      <c r="A815" s="134"/>
      <c r="B815" s="134"/>
      <c r="C815" s="134"/>
      <c r="D815" s="562">
        <f t="shared" si="118"/>
        <v>46181</v>
      </c>
      <c r="E815" s="472" t="str">
        <f>$P$1</f>
        <v>Weston</v>
      </c>
      <c r="F815" s="418">
        <f>IFERROR(AVERAGE(Rankings!$K815:$R815), "TBD")</f>
        <v>3.166666667</v>
      </c>
      <c r="G815" s="418">
        <f>IFERROR(_xlfn.STDEV.P(Rankings!$K815:$R815), "TBD")</f>
        <v>1.213351648</v>
      </c>
      <c r="H815" s="418">
        <f>IFERROR(AVERAGE(Rankings!$K815:$O815, Rankings!$Q815:$R815), "TBD")</f>
        <v>3.6</v>
      </c>
      <c r="I815" s="440" t="s">
        <v>1894</v>
      </c>
      <c r="J815" s="440" t="s">
        <v>688</v>
      </c>
      <c r="K815" s="430">
        <v>3.0</v>
      </c>
      <c r="L815" s="431">
        <v>3.0</v>
      </c>
      <c r="M815" s="431">
        <v>3.0</v>
      </c>
      <c r="N815" s="555"/>
      <c r="O815" s="431">
        <v>5.0</v>
      </c>
      <c r="P815" s="431">
        <v>1.0</v>
      </c>
      <c r="Q815" s="464">
        <v>4.0</v>
      </c>
      <c r="R815" s="465"/>
      <c r="S815" s="466">
        <f>IF(ISTEXT($V815), "TBD", RANK(V815,$V810:$V816))</f>
        <v>3</v>
      </c>
      <c r="T815" s="467">
        <v>1.0</v>
      </c>
      <c r="U815" s="468" t="b">
        <f>Rankings!$S815=Rankings!$T815</f>
        <v>0</v>
      </c>
      <c r="V815" s="553">
        <f>IF(ISTEXT(Rankings!F815), "TBD", (RANK($F815,$F810:$F816) + IF(ISTEXT($H815), 0, (RANK($H815,$H810:$H816)/10)) + (RANK($G815,$G810:$G816)/100)))</f>
        <v>4.44</v>
      </c>
      <c r="W815" s="153"/>
    </row>
    <row r="816" ht="15.75" customHeight="1">
      <c r="A816" s="189"/>
      <c r="B816" s="189"/>
      <c r="C816" s="189"/>
      <c r="D816" s="563">
        <f t="shared" si="118"/>
        <v>46181</v>
      </c>
      <c r="E816" s="131" t="str">
        <f>$Q$1</f>
        <v>Flocco</v>
      </c>
      <c r="F816" s="474">
        <f>IFERROR(AVERAGE(Rankings!$K816:$R816), "TBD")</f>
        <v>4.833333333</v>
      </c>
      <c r="G816" s="474">
        <f>IFERROR(_xlfn.STDEV.P(Rankings!$K816:$R816), "TBD")</f>
        <v>1.462494065</v>
      </c>
      <c r="H816" s="474">
        <f>IFERROR(AVERAGE(Rankings!$K816:$P816, Rankings!$R816), "TBD")</f>
        <v>5.4</v>
      </c>
      <c r="I816" s="475" t="s">
        <v>1895</v>
      </c>
      <c r="J816" s="475" t="s">
        <v>1896</v>
      </c>
      <c r="K816" s="430">
        <v>6.0</v>
      </c>
      <c r="L816" s="431">
        <v>5.0</v>
      </c>
      <c r="M816" s="431">
        <v>4.0</v>
      </c>
      <c r="N816" s="555"/>
      <c r="O816" s="431">
        <v>6.0</v>
      </c>
      <c r="P816" s="431">
        <v>6.0</v>
      </c>
      <c r="Q816" s="464">
        <v>2.0</v>
      </c>
      <c r="R816" s="465"/>
      <c r="S816" s="466">
        <f>IF(ISTEXT($V816), "TBD", RANK(V816,$V810:$V816))</f>
        <v>6</v>
      </c>
      <c r="T816" s="467">
        <v>1.0</v>
      </c>
      <c r="U816" s="468" t="b">
        <f>Rankings!$S816=Rankings!$T816</f>
        <v>0</v>
      </c>
      <c r="V816" s="553">
        <f>IF(ISTEXT(Rankings!F816), "TBD", (RANK($F816,$F810:$F816) + IF(ISTEXT($H816), 0, (RANK($H816,$H810:$H816)/10)) + (RANK($G816,$G810:$G816)/100)))</f>
        <v>1.12</v>
      </c>
      <c r="W816" s="208"/>
    </row>
    <row r="817" ht="15.75" customHeight="1">
      <c r="A817" s="103">
        <v>46183.0</v>
      </c>
      <c r="B817" s="453"/>
      <c r="C817" s="454" t="str">
        <f t="array" ref="C817">INDEX(Rankings!$E817:$E823, MATCH(1, (Rankings!$D817:$D823=$A817)*(Rankings!$U817:$U823=TRUE()), 0))</f>
        <v>Parker</v>
      </c>
      <c r="D817" s="551">
        <f>A817</f>
        <v>46183</v>
      </c>
      <c r="E817" s="455" t="str">
        <f>$K$1</f>
        <v>Logan</v>
      </c>
      <c r="F817" s="400">
        <f>IFERROR(AVERAGE(Rankings!$K817:$R817), "TBD")</f>
        <v>4.5</v>
      </c>
      <c r="G817" s="400">
        <f>IFERROR(_xlfn.STDEV.P(Rankings!$K817:$R817), "TBD")</f>
        <v>0.9574271078</v>
      </c>
      <c r="H817" s="400">
        <f>IFERROR(AVERAGE(Rankings!$L817:$R817), "TBD")</f>
        <v>4.8</v>
      </c>
      <c r="I817" s="421" t="s">
        <v>1897</v>
      </c>
      <c r="J817" s="421" t="s">
        <v>1898</v>
      </c>
      <c r="K817" s="422">
        <v>3.0</v>
      </c>
      <c r="L817" s="423">
        <v>4.0</v>
      </c>
      <c r="M817" s="423">
        <v>6.0</v>
      </c>
      <c r="N817" s="555"/>
      <c r="O817" s="423">
        <v>4.0</v>
      </c>
      <c r="P817" s="423">
        <v>5.0</v>
      </c>
      <c r="Q817" s="456">
        <v>5.0</v>
      </c>
      <c r="R817" s="457"/>
      <c r="S817" s="458">
        <f>IF(ISTEXT($V817), "TBD", RANK(V817,$V817:$V823))</f>
        <v>5</v>
      </c>
      <c r="T817" s="459">
        <v>1.0</v>
      </c>
      <c r="U817" s="460" t="b">
        <f>Rankings!$S817=Rankings!$T817</f>
        <v>0</v>
      </c>
      <c r="V817" s="553">
        <f>IF(ISTEXT(Rankings!F817), "TBD", (RANK($F817,$F817:$F823) + IF(ISTEXT($H817), 0, (RANK($H817,$H817:$H823)/10)) + (RANK($G817,$G817:$G823)/100)))</f>
        <v>2.23</v>
      </c>
      <c r="W817" s="567"/>
    </row>
    <row r="818" ht="15.75" customHeight="1">
      <c r="A818" s="134"/>
      <c r="B818" s="134"/>
      <c r="C818" s="134"/>
      <c r="D818" s="554">
        <f>D817</f>
        <v>46183</v>
      </c>
      <c r="E818" s="463" t="str">
        <f>$L$1</f>
        <v>Parker</v>
      </c>
      <c r="F818" s="404">
        <f>IFERROR(AVERAGE(Rankings!$K818:$R818), "TBD")</f>
        <v>1.333333333</v>
      </c>
      <c r="G818" s="404">
        <f>IFERROR(_xlfn.STDEV.P(Rankings!$K818:$R818), "TBD")</f>
        <v>0.4714045208</v>
      </c>
      <c r="H818" s="404">
        <f>IFERROR(AVERAGE(Rankings!$K818, Rankings!$M818:$R818), "TBD")</f>
        <v>1.4</v>
      </c>
      <c r="I818" s="429" t="s">
        <v>1899</v>
      </c>
      <c r="J818" s="429" t="s">
        <v>1900</v>
      </c>
      <c r="K818" s="430">
        <v>1.0</v>
      </c>
      <c r="L818" s="431">
        <v>1.0</v>
      </c>
      <c r="M818" s="431">
        <v>1.0</v>
      </c>
      <c r="N818" s="555"/>
      <c r="O818" s="431">
        <v>2.0</v>
      </c>
      <c r="P818" s="431">
        <v>1.0</v>
      </c>
      <c r="Q818" s="464">
        <v>2.0</v>
      </c>
      <c r="R818" s="465"/>
      <c r="S818" s="466">
        <f>IF(ISTEXT($V818), "TBD", RANK(V818,$V817:$V823))</f>
        <v>1</v>
      </c>
      <c r="T818" s="467">
        <v>1.0</v>
      </c>
      <c r="U818" s="468" t="b">
        <f>Rankings!$S818=Rankings!$T818</f>
        <v>1</v>
      </c>
      <c r="V818" s="553">
        <f>IF(ISTEXT(Rankings!F818), "TBD", (RANK($F818,$F817:$F823) + IF(ISTEXT($H818), 0, (RANK($H818,$H817:$H823)/10)) + (RANK($G818,$G817:$G823)/100)))</f>
        <v>6.66</v>
      </c>
      <c r="W818" s="153"/>
    </row>
    <row r="819" ht="15.75" customHeight="1">
      <c r="A819" s="134"/>
      <c r="B819" s="134"/>
      <c r="C819" s="134"/>
      <c r="D819" s="556">
        <f>D817</f>
        <v>46183</v>
      </c>
      <c r="E819" s="469" t="str">
        <f>$M$1</f>
        <v>Giacomo</v>
      </c>
      <c r="F819" s="408">
        <f>IFERROR(AVERAGE(Rankings!$K819:$R819), "TBD")</f>
        <v>3.5</v>
      </c>
      <c r="G819" s="408">
        <f>IFERROR(_xlfn.STDEV.P(Rankings!$K819:$R819), "TBD")</f>
        <v>1.5</v>
      </c>
      <c r="H819" s="408">
        <f>IFERROR(AVERAGE(Rankings!$K819:$L819, Rankings!$N819:$R819), "TBD")</f>
        <v>3.8</v>
      </c>
      <c r="I819" s="437" t="s">
        <v>1901</v>
      </c>
      <c r="J819" s="437" t="s">
        <v>1902</v>
      </c>
      <c r="K819" s="430">
        <v>5.0</v>
      </c>
      <c r="L819" s="431">
        <v>2.0</v>
      </c>
      <c r="M819" s="431">
        <v>2.0</v>
      </c>
      <c r="N819" s="555"/>
      <c r="O819" s="431">
        <v>3.0</v>
      </c>
      <c r="P819" s="431">
        <v>6.0</v>
      </c>
      <c r="Q819" s="464">
        <v>3.0</v>
      </c>
      <c r="R819" s="465"/>
      <c r="S819" s="466">
        <f>IF(ISTEXT($V819), "TBD", RANK(V819,$V817:$V823))</f>
        <v>3</v>
      </c>
      <c r="T819" s="467">
        <v>1.0</v>
      </c>
      <c r="U819" s="468" t="b">
        <f>Rankings!$S819=Rankings!$T819</f>
        <v>0</v>
      </c>
      <c r="V819" s="553">
        <f>IF(ISTEXT(Rankings!F819), "TBD", (RANK($F819,$F817:$F823) + IF(ISTEXT($H819), 0, (RANK($H819,$H817:$H823)/10)) + (RANK($G819,$G817:$G823)/100)))</f>
        <v>4.42</v>
      </c>
      <c r="W819" s="153"/>
    </row>
    <row r="820" ht="15.75" customHeight="1">
      <c r="A820" s="134"/>
      <c r="B820" s="134"/>
      <c r="C820" s="134"/>
      <c r="D820" s="557">
        <f>D817</f>
        <v>46183</v>
      </c>
      <c r="E820" s="470" t="str">
        <f>$N$1</f>
        <v>Rosey</v>
      </c>
      <c r="F820" s="411" t="str">
        <f>IFERROR(AVERAGE(Rankings!$K820:$R820), "TBD")</f>
        <v>TBD</v>
      </c>
      <c r="G820" s="411" t="str">
        <f>IFERROR(_xlfn.STDEV.P(Rankings!$K820:$R820), "TBD")</f>
        <v>TBD</v>
      </c>
      <c r="H820" s="411" t="str">
        <f>IFERROR(AVERAGE(Rankings!$K820:$M820, Rankings!$O820:$R820), "TBD")</f>
        <v>TBD</v>
      </c>
      <c r="I820" s="568"/>
      <c r="J820" s="568"/>
      <c r="K820" s="565"/>
      <c r="L820" s="566"/>
      <c r="M820" s="431" t="s">
        <v>1903</v>
      </c>
      <c r="N820" s="555"/>
      <c r="O820" s="431" t="s">
        <v>1697</v>
      </c>
      <c r="P820" s="431" t="s">
        <v>1698</v>
      </c>
      <c r="Q820" s="464" t="s">
        <v>1766</v>
      </c>
      <c r="R820" s="465"/>
      <c r="S820" s="466" t="str">
        <f>IF(ISTEXT($V820), "TBD", RANK(V820,$V817:$V823))</f>
        <v>TBD</v>
      </c>
      <c r="T820" s="467">
        <v>1.0</v>
      </c>
      <c r="U820" s="468" t="b">
        <f>Rankings!$S820=Rankings!$T820</f>
        <v>0</v>
      </c>
      <c r="V820" s="553" t="str">
        <f>IF(ISTEXT(Rankings!F820), "TBD", (RANK($F820,$F817:$F823) + IF(ISTEXT($H820), 0, (RANK($H820,$H817:$H823)/10)) + (RANK($G820,$G817:$G823)/100)))</f>
        <v>TBD</v>
      </c>
      <c r="W820" s="153"/>
    </row>
    <row r="821" ht="15.75" customHeight="1">
      <c r="A821" s="134"/>
      <c r="B821" s="134"/>
      <c r="C821" s="134"/>
      <c r="D821" s="561">
        <f t="shared" ref="D821:D823" si="119">D817</f>
        <v>46183</v>
      </c>
      <c r="E821" s="471" t="str">
        <f>$O$1</f>
        <v>TTAC</v>
      </c>
      <c r="F821" s="414">
        <f>IFERROR(AVERAGE(Rankings!$K821:$R821), "TBD")</f>
        <v>5.166666667</v>
      </c>
      <c r="G821" s="414">
        <f>IFERROR(_xlfn.STDEV.P(Rankings!$K821:$R821), "TBD")</f>
        <v>0.8975274679</v>
      </c>
      <c r="H821" s="414">
        <f>IFERROR(AVERAGE(Rankings!$K821:$N821, Rankings!$P821:$R821), "TBD")</f>
        <v>5.2</v>
      </c>
      <c r="I821" s="439" t="s">
        <v>1904</v>
      </c>
      <c r="J821" s="439" t="s">
        <v>1905</v>
      </c>
      <c r="K821" s="430">
        <v>6.0</v>
      </c>
      <c r="L821" s="431">
        <v>6.0</v>
      </c>
      <c r="M821" s="431">
        <v>4.0</v>
      </c>
      <c r="N821" s="555"/>
      <c r="O821" s="431">
        <v>5.0</v>
      </c>
      <c r="P821" s="431">
        <v>4.0</v>
      </c>
      <c r="Q821" s="464">
        <v>6.0</v>
      </c>
      <c r="R821" s="465"/>
      <c r="S821" s="466">
        <f>IF(ISTEXT($V821), "TBD", RANK(V821,$V817:$V823))</f>
        <v>6</v>
      </c>
      <c r="T821" s="467">
        <v>1.0</v>
      </c>
      <c r="U821" s="468" t="b">
        <f>Rankings!$S821=Rankings!$T821</f>
        <v>0</v>
      </c>
      <c r="V821" s="553">
        <f>IF(ISTEXT(Rankings!F821), "TBD", (RANK($F821,$F817:$F823) + IF(ISTEXT($H821), 0, (RANK($H821,$H817:$H823)/10)) + (RANK($G821,$G817:$G823)/100)))</f>
        <v>1.15</v>
      </c>
      <c r="W821" s="153"/>
    </row>
    <row r="822" ht="15.75" customHeight="1">
      <c r="A822" s="134"/>
      <c r="B822" s="134"/>
      <c r="C822" s="134"/>
      <c r="D822" s="562">
        <f t="shared" si="119"/>
        <v>46183</v>
      </c>
      <c r="E822" s="472" t="str">
        <f>$P$1</f>
        <v>Weston</v>
      </c>
      <c r="F822" s="418">
        <f>IFERROR(AVERAGE(Rankings!$K822:$R822), "TBD")</f>
        <v>2.5</v>
      </c>
      <c r="G822" s="418">
        <f>IFERROR(_xlfn.STDEV.P(Rankings!$K822:$R822), "TBD")</f>
        <v>0.9574271078</v>
      </c>
      <c r="H822" s="418">
        <f>IFERROR(AVERAGE(Rankings!$K822:$O822, Rankings!$Q822:$R822), "TBD")</f>
        <v>2.6</v>
      </c>
      <c r="I822" s="440" t="s">
        <v>1906</v>
      </c>
      <c r="J822" s="440" t="s">
        <v>1907</v>
      </c>
      <c r="K822" s="430">
        <v>2.0</v>
      </c>
      <c r="L822" s="431">
        <v>3.0</v>
      </c>
      <c r="M822" s="431">
        <v>3.0</v>
      </c>
      <c r="N822" s="555"/>
      <c r="O822" s="431">
        <v>1.0</v>
      </c>
      <c r="P822" s="431">
        <v>2.0</v>
      </c>
      <c r="Q822" s="464">
        <v>4.0</v>
      </c>
      <c r="R822" s="465"/>
      <c r="S822" s="466">
        <f>IF(ISTEXT($V822), "TBD", RANK(V822,$V817:$V823))</f>
        <v>2</v>
      </c>
      <c r="T822" s="467">
        <v>1.0</v>
      </c>
      <c r="U822" s="468" t="b">
        <f>Rankings!$S822=Rankings!$T822</f>
        <v>0</v>
      </c>
      <c r="V822" s="553">
        <f>IF(ISTEXT(Rankings!F822), "TBD", (RANK($F822,$F817:$F823) + IF(ISTEXT($H822), 0, (RANK($H822,$H817:$H823)/10)) + (RANK($G822,$G817:$G823)/100)))</f>
        <v>5.54</v>
      </c>
      <c r="W822" s="153"/>
    </row>
    <row r="823" ht="15.75" customHeight="1">
      <c r="A823" s="189"/>
      <c r="B823" s="189"/>
      <c r="C823" s="189"/>
      <c r="D823" s="563">
        <f t="shared" si="119"/>
        <v>46183</v>
      </c>
      <c r="E823" s="131" t="str">
        <f>$Q$1</f>
        <v>Flocco</v>
      </c>
      <c r="F823" s="474">
        <f>IFERROR(AVERAGE(Rankings!$K823:$R823), "TBD")</f>
        <v>4</v>
      </c>
      <c r="G823" s="474">
        <f>IFERROR(_xlfn.STDEV.P(Rankings!$K823:$R823), "TBD")</f>
        <v>1.632993162</v>
      </c>
      <c r="H823" s="474">
        <f>IFERROR(AVERAGE(Rankings!$K823:$P823, Rankings!$R823), "TBD")</f>
        <v>4.6</v>
      </c>
      <c r="I823" s="475" t="s">
        <v>1908</v>
      </c>
      <c r="J823" s="475" t="s">
        <v>1909</v>
      </c>
      <c r="K823" s="430">
        <v>4.0</v>
      </c>
      <c r="L823" s="431">
        <v>5.0</v>
      </c>
      <c r="M823" s="431">
        <v>5.0</v>
      </c>
      <c r="N823" s="555"/>
      <c r="O823" s="431">
        <v>6.0</v>
      </c>
      <c r="P823" s="431">
        <v>3.0</v>
      </c>
      <c r="Q823" s="464">
        <v>1.0</v>
      </c>
      <c r="R823" s="465"/>
      <c r="S823" s="466">
        <f>IF(ISTEXT($V823), "TBD", RANK(V823,$V817:$V823))</f>
        <v>4</v>
      </c>
      <c r="T823" s="467">
        <v>1.0</v>
      </c>
      <c r="U823" s="468" t="b">
        <f>Rankings!$S823=Rankings!$T823</f>
        <v>0</v>
      </c>
      <c r="V823" s="553">
        <f>IF(ISTEXT(Rankings!F823), "TBD", (RANK($F823,$F817:$F823) + IF(ISTEXT($H823), 0, (RANK($H823,$H817:$H823)/10)) + (RANK($G823,$G817:$G823)/100)))</f>
        <v>3.31</v>
      </c>
      <c r="W823" s="208"/>
    </row>
    <row r="824" ht="15.75" customHeight="1">
      <c r="A824" s="103">
        <v>46185.0</v>
      </c>
      <c r="B824" s="453"/>
      <c r="C824" s="454" t="str">
        <f t="array" ref="C824">INDEX(Rankings!$E824:$E830, MATCH(1, (Rankings!$D824:$D830=$A824)*(Rankings!$U824:$U830=TRUE()), 0))</f>
        <v>Flocco</v>
      </c>
      <c r="D824" s="551">
        <f>A824</f>
        <v>46185</v>
      </c>
      <c r="E824" s="455" t="str">
        <f>$K$1</f>
        <v>Logan</v>
      </c>
      <c r="F824" s="400">
        <f>IFERROR(AVERAGE(Rankings!$K824:$R824), "TBD")</f>
        <v>4.833333333</v>
      </c>
      <c r="G824" s="400">
        <f>IFERROR(_xlfn.STDEV.P(Rankings!$K824:$R824), "TBD")</f>
        <v>0.8975274679</v>
      </c>
      <c r="H824" s="400">
        <f>IFERROR(AVERAGE(Rankings!$L824:$R824), "TBD")</f>
        <v>5</v>
      </c>
      <c r="I824" s="421" t="s">
        <v>1910</v>
      </c>
      <c r="J824" s="421" t="s">
        <v>1911</v>
      </c>
      <c r="K824" s="422">
        <v>4.0</v>
      </c>
      <c r="L824" s="423">
        <v>5.0</v>
      </c>
      <c r="M824" s="423">
        <v>4.0</v>
      </c>
      <c r="N824" s="555"/>
      <c r="O824" s="423">
        <v>4.0</v>
      </c>
      <c r="P824" s="423">
        <v>6.0</v>
      </c>
      <c r="Q824" s="456">
        <v>6.0</v>
      </c>
      <c r="R824" s="457"/>
      <c r="S824" s="458">
        <f>IF(ISTEXT($V824), "TBD", RANK(V824,$V824:$V830))</f>
        <v>5</v>
      </c>
      <c r="T824" s="459">
        <v>1.0</v>
      </c>
      <c r="U824" s="460" t="b">
        <f>Rankings!$S824=Rankings!$T824</f>
        <v>0</v>
      </c>
      <c r="V824" s="553">
        <f>IF(ISTEXT(Rankings!F824), "TBD", (RANK($F824,$F824:$F830) + IF(ISTEXT($H824), 0, (RANK($H824,$H824:$H830)/10)) + (RANK($G824,$G824:$G830)/100)))</f>
        <v>2.23</v>
      </c>
      <c r="W824" s="329" t="s">
        <v>1912</v>
      </c>
    </row>
    <row r="825" ht="15.75" customHeight="1">
      <c r="A825" s="134"/>
      <c r="B825" s="134"/>
      <c r="C825" s="134"/>
      <c r="D825" s="554">
        <f>D824</f>
        <v>46185</v>
      </c>
      <c r="E825" s="463" t="str">
        <f>$L$1</f>
        <v>Parker</v>
      </c>
      <c r="F825" s="404">
        <f>IFERROR(AVERAGE(Rankings!$K825:$R825), "TBD")</f>
        <v>4</v>
      </c>
      <c r="G825" s="404">
        <f>IFERROR(_xlfn.STDEV.P(Rankings!$K825:$R825), "TBD")</f>
        <v>0.8164965809</v>
      </c>
      <c r="H825" s="404">
        <f>IFERROR(AVERAGE(Rankings!$K825, Rankings!$M825:$R825), "TBD")</f>
        <v>4</v>
      </c>
      <c r="I825" s="429" t="s">
        <v>1913</v>
      </c>
      <c r="J825" s="429" t="s">
        <v>1914</v>
      </c>
      <c r="K825" s="430">
        <v>5.0</v>
      </c>
      <c r="L825" s="431">
        <v>4.0</v>
      </c>
      <c r="M825" s="431">
        <v>3.0</v>
      </c>
      <c r="N825" s="555"/>
      <c r="O825" s="431">
        <v>5.0</v>
      </c>
      <c r="P825" s="431">
        <v>3.0</v>
      </c>
      <c r="Q825" s="464">
        <v>4.0</v>
      </c>
      <c r="R825" s="465"/>
      <c r="S825" s="466">
        <f>IF(ISTEXT($V825), "TBD", RANK(V825,$V824:$V830))</f>
        <v>4</v>
      </c>
      <c r="T825" s="467">
        <v>1.0</v>
      </c>
      <c r="U825" s="468" t="b">
        <f>Rankings!$S825=Rankings!$T825</f>
        <v>0</v>
      </c>
      <c r="V825" s="553">
        <f>IF(ISTEXT(Rankings!F825), "TBD", (RANK($F825,$F824:$F830) + IF(ISTEXT($H825), 0, (RANK($H825,$H824:$H830)/10)) + (RANK($G825,$G824:$G830)/100)))</f>
        <v>3.35</v>
      </c>
      <c r="W825" s="153"/>
    </row>
    <row r="826" ht="15.75" customHeight="1">
      <c r="A826" s="134"/>
      <c r="B826" s="134"/>
      <c r="C826" s="134"/>
      <c r="D826" s="556">
        <f>D824</f>
        <v>46185</v>
      </c>
      <c r="E826" s="469" t="str">
        <f>$M$1</f>
        <v>Giacomo</v>
      </c>
      <c r="F826" s="408">
        <f>IFERROR(AVERAGE(Rankings!$K826:$R826), "TBD")</f>
        <v>2.833333333</v>
      </c>
      <c r="G826" s="408">
        <f>IFERROR(_xlfn.STDEV.P(Rankings!$K826:$R826), "TBD")</f>
        <v>0.8975274679</v>
      </c>
      <c r="H826" s="408">
        <f>IFERROR(AVERAGE(Rankings!$K826:$L826, Rankings!$N826:$R826), "TBD")</f>
        <v>3.2</v>
      </c>
      <c r="I826" s="437" t="s">
        <v>1915</v>
      </c>
      <c r="J826" s="437" t="s">
        <v>1916</v>
      </c>
      <c r="K826" s="430">
        <v>3.0</v>
      </c>
      <c r="L826" s="431">
        <v>3.0</v>
      </c>
      <c r="M826" s="431">
        <v>1.0</v>
      </c>
      <c r="N826" s="555"/>
      <c r="O826" s="431">
        <v>3.0</v>
      </c>
      <c r="P826" s="431">
        <v>4.0</v>
      </c>
      <c r="Q826" s="464">
        <v>3.0</v>
      </c>
      <c r="R826" s="465"/>
      <c r="S826" s="466">
        <f>IF(ISTEXT($V826), "TBD", RANK(V826,$V824:$V830))</f>
        <v>3</v>
      </c>
      <c r="T826" s="467">
        <v>1.0</v>
      </c>
      <c r="U826" s="468" t="b">
        <f>Rankings!$S826=Rankings!$T826</f>
        <v>0</v>
      </c>
      <c r="V826" s="553">
        <f>IF(ISTEXT(Rankings!F826), "TBD", (RANK($F826,$F824:$F830) + IF(ISTEXT($H826), 0, (RANK($H826,$H824:$H830)/10)) + (RANK($G826,$G824:$G830)/100)))</f>
        <v>4.43</v>
      </c>
      <c r="W826" s="153"/>
    </row>
    <row r="827" ht="15.75" customHeight="1">
      <c r="A827" s="134"/>
      <c r="B827" s="134"/>
      <c r="C827" s="134"/>
      <c r="D827" s="557">
        <f>D824</f>
        <v>46185</v>
      </c>
      <c r="E827" s="470" t="str">
        <f>$N$1</f>
        <v>Rosey</v>
      </c>
      <c r="F827" s="411" t="str">
        <f>IFERROR(AVERAGE(Rankings!$K827:$R827), "TBD")</f>
        <v>TBD</v>
      </c>
      <c r="G827" s="411" t="str">
        <f>IFERROR(_xlfn.STDEV.P(Rankings!$K827:$R827), "TBD")</f>
        <v>TBD</v>
      </c>
      <c r="H827" s="411" t="str">
        <f>IFERROR(AVERAGE(Rankings!$K827:$M827, Rankings!$O827:$R827), "TBD")</f>
        <v>TBD</v>
      </c>
      <c r="I827" s="568"/>
      <c r="J827" s="568"/>
      <c r="K827" s="565"/>
      <c r="L827" s="566"/>
      <c r="M827" s="431" t="s">
        <v>1917</v>
      </c>
      <c r="N827" s="555"/>
      <c r="O827" s="431" t="s">
        <v>1697</v>
      </c>
      <c r="P827" s="431" t="s">
        <v>1698</v>
      </c>
      <c r="Q827" s="464" t="s">
        <v>1766</v>
      </c>
      <c r="R827" s="465"/>
      <c r="S827" s="466" t="str">
        <f>IF(ISTEXT($V827), "TBD", RANK(V827,$V824:$V830))</f>
        <v>TBD</v>
      </c>
      <c r="T827" s="467">
        <v>1.0</v>
      </c>
      <c r="U827" s="468" t="b">
        <f>Rankings!$S827=Rankings!$T827</f>
        <v>0</v>
      </c>
      <c r="V827" s="553" t="str">
        <f>IF(ISTEXT(Rankings!F827), "TBD", (RANK($F827,$F824:$F830) + IF(ISTEXT($H827), 0, (RANK($H827,$H824:$H830)/10)) + (RANK($G827,$G824:$G830)/100)))</f>
        <v>TBD</v>
      </c>
      <c r="W827" s="153"/>
    </row>
    <row r="828" ht="15.75" customHeight="1">
      <c r="A828" s="134"/>
      <c r="B828" s="134"/>
      <c r="C828" s="134"/>
      <c r="D828" s="561">
        <f t="shared" ref="D828:D830" si="120">D824</f>
        <v>46185</v>
      </c>
      <c r="E828" s="471" t="str">
        <f>$O$1</f>
        <v>TTAC</v>
      </c>
      <c r="F828" s="414">
        <f>IFERROR(AVERAGE(Rankings!$K828:$R828), "TBD")</f>
        <v>5</v>
      </c>
      <c r="G828" s="414">
        <f>IFERROR(_xlfn.STDEV.P(Rankings!$K828:$R828), "TBD")</f>
        <v>1.414213562</v>
      </c>
      <c r="H828" s="414">
        <f>IFERROR(AVERAGE(Rankings!$K828:$N828, Rankings!$P828:$R828), "TBD")</f>
        <v>5.6</v>
      </c>
      <c r="I828" s="439" t="s">
        <v>1918</v>
      </c>
      <c r="J828" s="439" t="s">
        <v>1919</v>
      </c>
      <c r="K828" s="430">
        <v>6.0</v>
      </c>
      <c r="L828" s="431">
        <v>6.0</v>
      </c>
      <c r="M828" s="431">
        <v>6.0</v>
      </c>
      <c r="N828" s="555"/>
      <c r="O828" s="431">
        <v>2.0</v>
      </c>
      <c r="P828" s="431">
        <v>5.0</v>
      </c>
      <c r="Q828" s="464">
        <v>5.0</v>
      </c>
      <c r="R828" s="465"/>
      <c r="S828" s="466">
        <f>IF(ISTEXT($V828), "TBD", RANK(V828,$V824:$V830))</f>
        <v>6</v>
      </c>
      <c r="T828" s="467">
        <v>1.0</v>
      </c>
      <c r="U828" s="468" t="b">
        <f>Rankings!$S828=Rankings!$T828</f>
        <v>0</v>
      </c>
      <c r="V828" s="553">
        <f>IF(ISTEXT(Rankings!F828), "TBD", (RANK($F828,$F824:$F830) + IF(ISTEXT($H828), 0, (RANK($H828,$H824:$H830)/10)) + (RANK($G828,$G824:$G830)/100)))</f>
        <v>1.12</v>
      </c>
      <c r="W828" s="153"/>
    </row>
    <row r="829" ht="15.75" customHeight="1">
      <c r="A829" s="134"/>
      <c r="B829" s="134"/>
      <c r="C829" s="134"/>
      <c r="D829" s="562">
        <f t="shared" si="120"/>
        <v>46185</v>
      </c>
      <c r="E829" s="472" t="str">
        <f>$P$1</f>
        <v>Weston</v>
      </c>
      <c r="F829" s="418">
        <f>IFERROR(AVERAGE(Rankings!$K829:$R829), "TBD")</f>
        <v>2.666666667</v>
      </c>
      <c r="G829" s="418">
        <f>IFERROR(_xlfn.STDEV.P(Rankings!$K829:$R829), "TBD")</f>
        <v>2.054804668</v>
      </c>
      <c r="H829" s="418">
        <f>IFERROR(AVERAGE(Rankings!$K829:$O829, Rankings!$Q829:$R829), "TBD")</f>
        <v>2.8</v>
      </c>
      <c r="I829" s="440" t="s">
        <v>1920</v>
      </c>
      <c r="J829" s="440" t="s">
        <v>1921</v>
      </c>
      <c r="K829" s="430">
        <v>1.0</v>
      </c>
      <c r="L829" s="431">
        <v>1.0</v>
      </c>
      <c r="M829" s="431">
        <v>5.0</v>
      </c>
      <c r="N829" s="555"/>
      <c r="O829" s="431">
        <v>6.0</v>
      </c>
      <c r="P829" s="431">
        <v>2.0</v>
      </c>
      <c r="Q829" s="464">
        <v>1.0</v>
      </c>
      <c r="R829" s="465"/>
      <c r="S829" s="466">
        <f>IF(ISTEXT($V829), "TBD", RANK(V829,$V824:$V830))</f>
        <v>2</v>
      </c>
      <c r="T829" s="467">
        <v>1.0</v>
      </c>
      <c r="U829" s="468" t="b">
        <f>Rankings!$S829=Rankings!$T829</f>
        <v>0</v>
      </c>
      <c r="V829" s="553">
        <f>IF(ISTEXT(Rankings!F829), "TBD", (RANK($F829,$F824:$F830) + IF(ISTEXT($H829), 0, (RANK($H829,$H824:$H830)/10)) + (RANK($G829,$G824:$G830)/100)))</f>
        <v>5.51</v>
      </c>
      <c r="W829" s="153"/>
    </row>
    <row r="830" ht="15.75" customHeight="1">
      <c r="A830" s="189"/>
      <c r="B830" s="189"/>
      <c r="C830" s="189"/>
      <c r="D830" s="563">
        <f t="shared" si="120"/>
        <v>46185</v>
      </c>
      <c r="E830" s="131" t="str">
        <f>$Q$1</f>
        <v>Flocco</v>
      </c>
      <c r="F830" s="474">
        <f>IFERROR(AVERAGE(Rankings!$K830:$R830), "TBD")</f>
        <v>1.666666667</v>
      </c>
      <c r="G830" s="474">
        <f>IFERROR(_xlfn.STDEV.P(Rankings!$K830:$R830), "TBD")</f>
        <v>0.4714045208</v>
      </c>
      <c r="H830" s="474">
        <f>IFERROR(AVERAGE(Rankings!$K830:$P830, Rankings!$R830), "TBD")</f>
        <v>1.6</v>
      </c>
      <c r="I830" s="475" t="s">
        <v>1922</v>
      </c>
      <c r="J830" s="475" t="s">
        <v>1923</v>
      </c>
      <c r="K830" s="430">
        <v>2.0</v>
      </c>
      <c r="L830" s="431">
        <v>2.0</v>
      </c>
      <c r="M830" s="431">
        <v>2.0</v>
      </c>
      <c r="N830" s="555"/>
      <c r="O830" s="431">
        <v>1.0</v>
      </c>
      <c r="P830" s="431">
        <v>1.0</v>
      </c>
      <c r="Q830" s="464">
        <v>2.0</v>
      </c>
      <c r="R830" s="465"/>
      <c r="S830" s="466">
        <f>IF(ISTEXT($V830), "TBD", RANK(V830,$V824:$V830))</f>
        <v>1</v>
      </c>
      <c r="T830" s="467">
        <v>1.0</v>
      </c>
      <c r="U830" s="468" t="b">
        <f>Rankings!$S830=Rankings!$T830</f>
        <v>1</v>
      </c>
      <c r="V830" s="553">
        <f>IF(ISTEXT(Rankings!F830), "TBD", (RANK($F830,$F824:$F830) + IF(ISTEXT($H830), 0, (RANK($H830,$H824:$H830)/10)) + (RANK($G830,$G824:$G830)/100)))</f>
        <v>6.66</v>
      </c>
      <c r="W830" s="208"/>
    </row>
    <row r="831" ht="15.75" customHeight="1">
      <c r="A831" s="103">
        <v>46188.0</v>
      </c>
      <c r="B831" s="453"/>
      <c r="C831" s="454" t="str">
        <f t="array" ref="C831">INDEX(Rankings!$E831:$E837, MATCH(1, (Rankings!$D831:$D837=$A831)*(Rankings!$U831:$U837=TRUE()), 0))</f>
        <v>TTAC</v>
      </c>
      <c r="D831" s="551">
        <f>A831</f>
        <v>46188</v>
      </c>
      <c r="E831" s="455" t="str">
        <f>$K$1</f>
        <v>Logan</v>
      </c>
      <c r="F831" s="400">
        <f>IFERROR(AVERAGE(Rankings!$K831:$R831), "TBD")</f>
        <v>3.666666667</v>
      </c>
      <c r="G831" s="400">
        <f>IFERROR(_xlfn.STDEV.P(Rankings!$K831:$R831), "TBD")</f>
        <v>1.972026594</v>
      </c>
      <c r="H831" s="400">
        <f>IFERROR(AVERAGE(Rankings!$L831:$R831), "TBD")</f>
        <v>4.2</v>
      </c>
      <c r="I831" s="421" t="s">
        <v>878</v>
      </c>
      <c r="J831" s="421" t="s">
        <v>1924</v>
      </c>
      <c r="K831" s="422">
        <v>1.0</v>
      </c>
      <c r="L831" s="423">
        <v>1.0</v>
      </c>
      <c r="M831" s="423">
        <v>6.0</v>
      </c>
      <c r="N831" s="555"/>
      <c r="O831" s="423">
        <v>5.0</v>
      </c>
      <c r="P831" s="423">
        <v>5.0</v>
      </c>
      <c r="Q831" s="456">
        <v>4.0</v>
      </c>
      <c r="R831" s="457"/>
      <c r="S831" s="458">
        <f>IF(ISTEXT($V831), "TBD", RANK(V831,$V831:$V837))</f>
        <v>5</v>
      </c>
      <c r="T831" s="459">
        <v>1.0</v>
      </c>
      <c r="U831" s="460" t="b">
        <f>Rankings!$S831=Rankings!$T831</f>
        <v>0</v>
      </c>
      <c r="V831" s="553">
        <f>IF(ISTEXT(Rankings!F831), "TBD", (RANK($F831,$F831:$F837) + IF(ISTEXT($H831), 0, (RANK($H831,$H831:$H837)/10)) + (RANK($G831,$G831:$G837)/100)))</f>
        <v>2.21</v>
      </c>
      <c r="W831" s="329"/>
    </row>
    <row r="832" ht="15.75" customHeight="1">
      <c r="A832" s="134"/>
      <c r="B832" s="134"/>
      <c r="C832" s="134"/>
      <c r="D832" s="554">
        <f>D831</f>
        <v>46188</v>
      </c>
      <c r="E832" s="463" t="str">
        <f>$L$1</f>
        <v>Parker</v>
      </c>
      <c r="F832" s="404">
        <f>IFERROR(AVERAGE(Rankings!$K832:$R832), "TBD")</f>
        <v>3.166666667</v>
      </c>
      <c r="G832" s="404">
        <f>IFERROR(_xlfn.STDEV.P(Rankings!$K832:$R832), "TBD")</f>
        <v>1.462494065</v>
      </c>
      <c r="H832" s="404">
        <f>IFERROR(AVERAGE(Rankings!$K832, Rankings!$M832:$R832), "TBD")</f>
        <v>3.4</v>
      </c>
      <c r="I832" s="572" t="s">
        <v>1925</v>
      </c>
      <c r="J832" s="429" t="s">
        <v>1164</v>
      </c>
      <c r="K832" s="430">
        <v>4.0</v>
      </c>
      <c r="L832" s="431">
        <v>2.0</v>
      </c>
      <c r="M832" s="431">
        <v>3.0</v>
      </c>
      <c r="N832" s="555"/>
      <c r="O832" s="431">
        <v>2.0</v>
      </c>
      <c r="P832" s="431">
        <v>2.0</v>
      </c>
      <c r="Q832" s="464">
        <v>6.0</v>
      </c>
      <c r="R832" s="465"/>
      <c r="S832" s="466">
        <f>IF(ISTEXT($V832), "TBD", RANK(V832,$V831:$V837))</f>
        <v>3</v>
      </c>
      <c r="T832" s="467">
        <v>1.0</v>
      </c>
      <c r="U832" s="468" t="b">
        <f>Rankings!$S832=Rankings!$T832</f>
        <v>0</v>
      </c>
      <c r="V832" s="553">
        <f>IF(ISTEXT(Rankings!F832), "TBD", (RANK($F832,$F831:$F837) + IF(ISTEXT($H832), 0, (RANK($H832,$H831:$H837)/10)) + (RANK($G832,$G831:$G837)/100)))</f>
        <v>4.44</v>
      </c>
      <c r="W832" s="153"/>
    </row>
    <row r="833" ht="15.75" customHeight="1">
      <c r="A833" s="134"/>
      <c r="B833" s="134"/>
      <c r="C833" s="134"/>
      <c r="D833" s="556">
        <f>D831</f>
        <v>46188</v>
      </c>
      <c r="E833" s="469" t="str">
        <f>$M$1</f>
        <v>Giacomo</v>
      </c>
      <c r="F833" s="408">
        <f>IFERROR(AVERAGE(Rankings!$K833:$R833), "TBD")</f>
        <v>3.666666667</v>
      </c>
      <c r="G833" s="408">
        <f>IFERROR(_xlfn.STDEV.P(Rankings!$K833:$R833), "TBD")</f>
        <v>1.598610508</v>
      </c>
      <c r="H833" s="408">
        <f>IFERROR(AVERAGE(Rankings!$K833:$L833, Rankings!$N833:$R833), "TBD")</f>
        <v>4.2</v>
      </c>
      <c r="I833" s="437" t="s">
        <v>1926</v>
      </c>
      <c r="J833" s="437" t="s">
        <v>1927</v>
      </c>
      <c r="K833" s="430">
        <v>6.0</v>
      </c>
      <c r="L833" s="431">
        <v>3.0</v>
      </c>
      <c r="M833" s="431">
        <v>1.0</v>
      </c>
      <c r="N833" s="555"/>
      <c r="O833" s="431">
        <v>3.0</v>
      </c>
      <c r="P833" s="431">
        <v>4.0</v>
      </c>
      <c r="Q833" s="464">
        <v>5.0</v>
      </c>
      <c r="R833" s="465"/>
      <c r="S833" s="466">
        <f>IF(ISTEXT($V833), "TBD", RANK(V833,$V831:$V837))</f>
        <v>4</v>
      </c>
      <c r="T833" s="467">
        <v>1.0</v>
      </c>
      <c r="U833" s="468" t="b">
        <f>Rankings!$S833=Rankings!$T833</f>
        <v>0</v>
      </c>
      <c r="V833" s="553">
        <f>IF(ISTEXT(Rankings!F833), "TBD", (RANK($F833,$F831:$F837) + IF(ISTEXT($H833), 0, (RANK($H833,$H831:$H837)/10)) + (RANK($G833,$G831:$G837)/100)))</f>
        <v>2.23</v>
      </c>
      <c r="W833" s="153"/>
    </row>
    <row r="834" ht="15.75" customHeight="1">
      <c r="A834" s="134"/>
      <c r="B834" s="134"/>
      <c r="C834" s="134"/>
      <c r="D834" s="557">
        <f>D831</f>
        <v>46188</v>
      </c>
      <c r="E834" s="470" t="str">
        <f>$N$1</f>
        <v>Rosey</v>
      </c>
      <c r="F834" s="411" t="str">
        <f>IFERROR(AVERAGE(Rankings!$K834:$R834), "TBD")</f>
        <v>TBD</v>
      </c>
      <c r="G834" s="411" t="str">
        <f>IFERROR(_xlfn.STDEV.P(Rankings!$K834:$R834), "TBD")</f>
        <v>TBD</v>
      </c>
      <c r="H834" s="411" t="str">
        <f>IFERROR(AVERAGE(Rankings!$K834:$M834, Rankings!$O834:$R834), "TBD")</f>
        <v>TBD</v>
      </c>
      <c r="I834" s="568"/>
      <c r="J834" s="568"/>
      <c r="K834" s="565"/>
      <c r="L834" s="566"/>
      <c r="M834" s="431" t="s">
        <v>1928</v>
      </c>
      <c r="N834" s="555"/>
      <c r="O834" s="431" t="s">
        <v>1697</v>
      </c>
      <c r="P834" s="431" t="s">
        <v>1698</v>
      </c>
      <c r="Q834" s="464" t="s">
        <v>1766</v>
      </c>
      <c r="R834" s="465"/>
      <c r="S834" s="466" t="str">
        <f>IF(ISTEXT($V834), "TBD", RANK(V834,$V831:$V837))</f>
        <v>TBD</v>
      </c>
      <c r="T834" s="467">
        <v>1.0</v>
      </c>
      <c r="U834" s="468" t="b">
        <f>Rankings!$S834=Rankings!$T834</f>
        <v>0</v>
      </c>
      <c r="V834" s="553" t="str">
        <f>IF(ISTEXT(Rankings!F834), "TBD", (RANK($F834,$F831:$F837) + IF(ISTEXT($H834), 0, (RANK($H834,$H831:$H837)/10)) + (RANK($G834,$G831:$G837)/100)))</f>
        <v>TBD</v>
      </c>
      <c r="W834" s="153"/>
    </row>
    <row r="835" ht="15.75" customHeight="1">
      <c r="A835" s="134"/>
      <c r="B835" s="134"/>
      <c r="C835" s="134"/>
      <c r="D835" s="561">
        <f t="shared" ref="D835:D837" si="121">D831</f>
        <v>46188</v>
      </c>
      <c r="E835" s="471" t="str">
        <f>$O$1</f>
        <v>TTAC</v>
      </c>
      <c r="F835" s="414">
        <f>IFERROR(AVERAGE(Rankings!$K835:$R835), "TBD")</f>
        <v>2.833333333</v>
      </c>
      <c r="G835" s="414">
        <f>IFERROR(_xlfn.STDEV.P(Rankings!$K835:$R835), "TBD")</f>
        <v>1.67497927</v>
      </c>
      <c r="H835" s="414">
        <f>IFERROR(AVERAGE(Rankings!$K835:$N835, Rankings!$P835:$R835), "TBD")</f>
        <v>3.2</v>
      </c>
      <c r="I835" s="439" t="s">
        <v>1929</v>
      </c>
      <c r="J835" s="439" t="s">
        <v>1930</v>
      </c>
      <c r="K835" s="430">
        <v>5.0</v>
      </c>
      <c r="L835" s="431">
        <v>5.0</v>
      </c>
      <c r="M835" s="431">
        <v>2.0</v>
      </c>
      <c r="N835" s="555"/>
      <c r="O835" s="431">
        <v>1.0</v>
      </c>
      <c r="P835" s="431">
        <v>3.0</v>
      </c>
      <c r="Q835" s="464">
        <v>1.0</v>
      </c>
      <c r="R835" s="465"/>
      <c r="S835" s="466">
        <f>IF(ISTEXT($V835), "TBD", RANK(V835,$V831:$V837))</f>
        <v>1</v>
      </c>
      <c r="T835" s="467">
        <v>1.0</v>
      </c>
      <c r="U835" s="468" t="b">
        <f>Rankings!$S835=Rankings!$T835</f>
        <v>1</v>
      </c>
      <c r="V835" s="553">
        <f>IF(ISTEXT(Rankings!F835), "TBD", (RANK($F835,$F831:$F837) + IF(ISTEXT($H835), 0, (RANK($H835,$H831:$H837)/10)) + (RANK($G835,$G831:$G837)/100)))</f>
        <v>6.62</v>
      </c>
      <c r="W835" s="153"/>
    </row>
    <row r="836" ht="15.75" customHeight="1">
      <c r="A836" s="134"/>
      <c r="B836" s="134"/>
      <c r="C836" s="134"/>
      <c r="D836" s="562">
        <f t="shared" si="121"/>
        <v>46188</v>
      </c>
      <c r="E836" s="472" t="str">
        <f>$P$1</f>
        <v>Weston</v>
      </c>
      <c r="F836" s="418">
        <f>IFERROR(AVERAGE(Rankings!$K836:$R836), "TBD")</f>
        <v>3</v>
      </c>
      <c r="G836" s="418">
        <f>IFERROR(_xlfn.STDEV.P(Rankings!$K836:$R836), "TBD")</f>
        <v>1.414213562</v>
      </c>
      <c r="H836" s="418">
        <f>IFERROR(AVERAGE(Rankings!$K836:$O836, Rankings!$Q836:$R836), "TBD")</f>
        <v>3.4</v>
      </c>
      <c r="I836" s="440" t="s">
        <v>1931</v>
      </c>
      <c r="J836" s="440" t="s">
        <v>1932</v>
      </c>
      <c r="K836" s="430">
        <v>2.0</v>
      </c>
      <c r="L836" s="431">
        <v>4.0</v>
      </c>
      <c r="M836" s="431">
        <v>5.0</v>
      </c>
      <c r="N836" s="555"/>
      <c r="O836" s="431">
        <v>4.0</v>
      </c>
      <c r="P836" s="431">
        <v>1.0</v>
      </c>
      <c r="Q836" s="464">
        <v>2.0</v>
      </c>
      <c r="R836" s="465"/>
      <c r="S836" s="466">
        <f>IF(ISTEXT($V836), "TBD", RANK(V836,$V831:$V837))</f>
        <v>2</v>
      </c>
      <c r="T836" s="467">
        <v>1.0</v>
      </c>
      <c r="U836" s="468" t="b">
        <f>Rankings!$S836=Rankings!$T836</f>
        <v>0</v>
      </c>
      <c r="V836" s="553">
        <f>IF(ISTEXT(Rankings!F836), "TBD", (RANK($F836,$F831:$F837) + IF(ISTEXT($H836), 0, (RANK($H836,$H831:$H837)/10)) + (RANK($G836,$G831:$G837)/100)))</f>
        <v>5.45</v>
      </c>
      <c r="W836" s="153"/>
    </row>
    <row r="837" ht="15.75" customHeight="1">
      <c r="A837" s="189"/>
      <c r="B837" s="189"/>
      <c r="C837" s="189"/>
      <c r="D837" s="563">
        <f t="shared" si="121"/>
        <v>46188</v>
      </c>
      <c r="E837" s="131" t="str">
        <f>$Q$1</f>
        <v>Flocco</v>
      </c>
      <c r="F837" s="474">
        <f>IFERROR(AVERAGE(Rankings!$K837:$R837), "TBD")</f>
        <v>4.666666667</v>
      </c>
      <c r="G837" s="474">
        <f>IFERROR(_xlfn.STDEV.P(Rankings!$K837:$R837), "TBD")</f>
        <v>1.374368542</v>
      </c>
      <c r="H837" s="474">
        <f>IFERROR(AVERAGE(Rankings!$K837:$P837, Rankings!$R837), "TBD")</f>
        <v>5</v>
      </c>
      <c r="I837" s="475" t="s">
        <v>1933</v>
      </c>
      <c r="J837" s="475" t="s">
        <v>1934</v>
      </c>
      <c r="K837" s="430">
        <v>3.0</v>
      </c>
      <c r="L837" s="431">
        <v>6.0</v>
      </c>
      <c r="M837" s="431">
        <v>4.0</v>
      </c>
      <c r="N837" s="555"/>
      <c r="O837" s="431">
        <v>6.0</v>
      </c>
      <c r="P837" s="431">
        <v>6.0</v>
      </c>
      <c r="Q837" s="464">
        <v>3.0</v>
      </c>
      <c r="R837" s="465"/>
      <c r="S837" s="466">
        <f>IF(ISTEXT($V837), "TBD", RANK(V837,$V831:$V837))</f>
        <v>6</v>
      </c>
      <c r="T837" s="467">
        <v>1.0</v>
      </c>
      <c r="U837" s="468" t="b">
        <f>Rankings!$S837=Rankings!$T837</f>
        <v>0</v>
      </c>
      <c r="V837" s="553">
        <f>IF(ISTEXT(Rankings!F837), "TBD", (RANK($F837,$F831:$F837) + IF(ISTEXT($H837), 0, (RANK($H837,$H831:$H837)/10)) + (RANK($G837,$G831:$G837)/100)))</f>
        <v>1.16</v>
      </c>
      <c r="W837" s="208"/>
    </row>
    <row r="838" ht="15.75" customHeight="1">
      <c r="A838" s="103">
        <v>46190.0</v>
      </c>
      <c r="B838" s="453"/>
      <c r="C838" s="454" t="str">
        <f t="array" ref="C838">INDEX(Rankings!$E838:$E844, MATCH(1, (Rankings!$D838:$D844=$A838)*(Rankings!$U838:$U844=TRUE()), 0))</f>
        <v>Weston</v>
      </c>
      <c r="D838" s="551">
        <f>A838</f>
        <v>46190</v>
      </c>
      <c r="E838" s="455" t="str">
        <f>$K$1</f>
        <v>Logan</v>
      </c>
      <c r="F838" s="400">
        <f>IFERROR(AVERAGE(Rankings!$K838:$R838), "TBD")</f>
        <v>5.333333333</v>
      </c>
      <c r="G838" s="400">
        <f>IFERROR(_xlfn.STDEV.P(Rankings!$K838:$R838), "TBD")</f>
        <v>0.7453559925</v>
      </c>
      <c r="H838" s="400">
        <f>IFERROR(AVERAGE(Rankings!$L838:$R838), "TBD")</f>
        <v>5.6</v>
      </c>
      <c r="I838" s="421" t="s">
        <v>1935</v>
      </c>
      <c r="J838" s="421" t="s">
        <v>1936</v>
      </c>
      <c r="K838" s="422">
        <v>4.0</v>
      </c>
      <c r="L838" s="423">
        <v>5.0</v>
      </c>
      <c r="M838" s="423">
        <v>6.0</v>
      </c>
      <c r="N838" s="555"/>
      <c r="O838" s="423">
        <v>6.0</v>
      </c>
      <c r="P838" s="423">
        <v>6.0</v>
      </c>
      <c r="Q838" s="456">
        <v>5.0</v>
      </c>
      <c r="R838" s="457"/>
      <c r="S838" s="458">
        <f>IF(ISTEXT($V838), "TBD", RANK(V838,$V838:$V844))</f>
        <v>6</v>
      </c>
      <c r="T838" s="459">
        <v>1.0</v>
      </c>
      <c r="U838" s="460" t="b">
        <f>Rankings!$S838=Rankings!$T838</f>
        <v>0</v>
      </c>
      <c r="V838" s="553">
        <f>IF(ISTEXT(Rankings!F838), "TBD", (RANK($F838,$F838:$F844) + IF(ISTEXT($H838), 0, (RANK($H838,$H838:$H844)/10)) + (RANK($G838,$G838:$G844)/100)))</f>
        <v>1.15</v>
      </c>
      <c r="W838" s="329"/>
    </row>
    <row r="839" ht="15.75" customHeight="1">
      <c r="A839" s="134"/>
      <c r="B839" s="134"/>
      <c r="C839" s="134"/>
      <c r="D839" s="554">
        <f>D838</f>
        <v>46190</v>
      </c>
      <c r="E839" s="463" t="str">
        <f>$L$1</f>
        <v>Parker</v>
      </c>
      <c r="F839" s="404">
        <f>IFERROR(AVERAGE(Rankings!$K839:$R839), "TBD")</f>
        <v>2.833333333</v>
      </c>
      <c r="G839" s="404">
        <f>IFERROR(_xlfn.STDEV.P(Rankings!$K839:$R839), "TBD")</f>
        <v>1.067187373</v>
      </c>
      <c r="H839" s="404">
        <f>IFERROR(AVERAGE(Rankings!$K839, Rankings!$M839:$R839), "TBD")</f>
        <v>2.8</v>
      </c>
      <c r="I839" s="429" t="s">
        <v>1937</v>
      </c>
      <c r="J839" s="429" t="s">
        <v>1938</v>
      </c>
      <c r="K839" s="430">
        <v>1.0</v>
      </c>
      <c r="L839" s="431">
        <v>3.0</v>
      </c>
      <c r="M839" s="431">
        <v>2.0</v>
      </c>
      <c r="N839" s="555"/>
      <c r="O839" s="431">
        <v>4.0</v>
      </c>
      <c r="P839" s="431">
        <v>3.0</v>
      </c>
      <c r="Q839" s="464">
        <v>4.0</v>
      </c>
      <c r="R839" s="465"/>
      <c r="S839" s="466">
        <f>IF(ISTEXT($V839), "TBD", RANK(V839,$V838:$V844))</f>
        <v>2</v>
      </c>
      <c r="T839" s="467">
        <v>1.0</v>
      </c>
      <c r="U839" s="468" t="b">
        <f>Rankings!$S839=Rankings!$T839</f>
        <v>0</v>
      </c>
      <c r="V839" s="553">
        <f>IF(ISTEXT(Rankings!F839), "TBD", (RANK($F839,$F838:$F844) + IF(ISTEXT($H839), 0, (RANK($H839,$H838:$H844)/10)) + (RANK($G839,$G838:$G844)/100)))</f>
        <v>5.54</v>
      </c>
      <c r="W839" s="153"/>
    </row>
    <row r="840" ht="15.75" customHeight="1">
      <c r="A840" s="134"/>
      <c r="B840" s="134"/>
      <c r="C840" s="134"/>
      <c r="D840" s="556">
        <f>D838</f>
        <v>46190</v>
      </c>
      <c r="E840" s="469" t="str">
        <f>$M$1</f>
        <v>Giacomo</v>
      </c>
      <c r="F840" s="408">
        <f>IFERROR(AVERAGE(Rankings!$K840:$R840), "TBD")</f>
        <v>4</v>
      </c>
      <c r="G840" s="408">
        <f>IFERROR(_xlfn.STDEV.P(Rankings!$K840:$R840), "TBD")</f>
        <v>1.732050808</v>
      </c>
      <c r="H840" s="408">
        <f>IFERROR(AVERAGE(Rankings!$K840:$L840, Rankings!$N840:$R840), "TBD")</f>
        <v>4.2</v>
      </c>
      <c r="I840" s="437" t="s">
        <v>1939</v>
      </c>
      <c r="J840" s="437" t="s">
        <v>1940</v>
      </c>
      <c r="K840" s="430">
        <v>6.0</v>
      </c>
      <c r="L840" s="431">
        <v>2.0</v>
      </c>
      <c r="M840" s="431">
        <v>3.0</v>
      </c>
      <c r="N840" s="555"/>
      <c r="O840" s="431">
        <v>5.0</v>
      </c>
      <c r="P840" s="431">
        <v>2.0</v>
      </c>
      <c r="Q840" s="464">
        <v>6.0</v>
      </c>
      <c r="R840" s="465"/>
      <c r="S840" s="466">
        <f>IF(ISTEXT($V840), "TBD", RANK(V840,$V838:$V844))</f>
        <v>5</v>
      </c>
      <c r="T840" s="467">
        <v>1.0</v>
      </c>
      <c r="U840" s="468" t="b">
        <f>Rankings!$S840=Rankings!$T840</f>
        <v>0</v>
      </c>
      <c r="V840" s="553">
        <f>IF(ISTEXT(Rankings!F840), "TBD", (RANK($F840,$F838:$F844) + IF(ISTEXT($H840), 0, (RANK($H840,$H838:$H844)/10)) + (RANK($G840,$G838:$G844)/100)))</f>
        <v>2.21</v>
      </c>
      <c r="W840" s="153"/>
    </row>
    <row r="841" ht="15.75" customHeight="1">
      <c r="A841" s="134"/>
      <c r="B841" s="134"/>
      <c r="C841" s="134"/>
      <c r="D841" s="557">
        <f>D838</f>
        <v>46190</v>
      </c>
      <c r="E841" s="470" t="str">
        <f>$N$1</f>
        <v>Rosey</v>
      </c>
      <c r="F841" s="411" t="str">
        <f>IFERROR(AVERAGE(Rankings!$K841:$R841), "TBD")</f>
        <v>TBD</v>
      </c>
      <c r="G841" s="411" t="str">
        <f>IFERROR(_xlfn.STDEV.P(Rankings!$K841:$R841), "TBD")</f>
        <v>TBD</v>
      </c>
      <c r="H841" s="411" t="str">
        <f>IFERROR(AVERAGE(Rankings!$K841:$M841, Rankings!$O841:$R841), "TBD")</f>
        <v>TBD</v>
      </c>
      <c r="I841" s="568"/>
      <c r="J841" s="568"/>
      <c r="K841" s="565"/>
      <c r="L841" s="566"/>
      <c r="M841" s="431" t="s">
        <v>1941</v>
      </c>
      <c r="N841" s="555"/>
      <c r="O841" s="431" t="s">
        <v>1697</v>
      </c>
      <c r="P841" s="431" t="s">
        <v>1698</v>
      </c>
      <c r="Q841" s="464" t="s">
        <v>1766</v>
      </c>
      <c r="R841" s="465"/>
      <c r="S841" s="466" t="str">
        <f>IF(ISTEXT($V841), "TBD", RANK(V841,$V838:$V844))</f>
        <v>TBD</v>
      </c>
      <c r="T841" s="467">
        <v>1.0</v>
      </c>
      <c r="U841" s="468" t="b">
        <f>Rankings!$S841=Rankings!$T841</f>
        <v>0</v>
      </c>
      <c r="V841" s="553" t="str">
        <f>IF(ISTEXT(Rankings!F841), "TBD", (RANK($F841,$F838:$F844) + IF(ISTEXT($H841), 0, (RANK($H841,$H838:$H844)/10)) + (RANK($G841,$G838:$G844)/100)))</f>
        <v>TBD</v>
      </c>
      <c r="W841" s="153"/>
    </row>
    <row r="842" ht="15.75" customHeight="1">
      <c r="A842" s="134"/>
      <c r="B842" s="134"/>
      <c r="C842" s="134"/>
      <c r="D842" s="561">
        <f t="shared" ref="D842:D844" si="122">D838</f>
        <v>46190</v>
      </c>
      <c r="E842" s="471" t="str">
        <f>$O$1</f>
        <v>TTAC</v>
      </c>
      <c r="F842" s="414">
        <f>IFERROR(AVERAGE(Rankings!$K842:$R842), "TBD")</f>
        <v>3.666666667</v>
      </c>
      <c r="G842" s="414">
        <f>IFERROR(_xlfn.STDEV.P(Rankings!$K842:$R842), "TBD")</f>
        <v>1.247219129</v>
      </c>
      <c r="H842" s="414">
        <f>IFERROR(AVERAGE(Rankings!$K842:$N842, Rankings!$P842:$R842), "TBD")</f>
        <v>4</v>
      </c>
      <c r="I842" s="439" t="s">
        <v>1942</v>
      </c>
      <c r="J842" s="439" t="s">
        <v>1173</v>
      </c>
      <c r="K842" s="430">
        <v>5.0</v>
      </c>
      <c r="L842" s="431">
        <v>4.0</v>
      </c>
      <c r="M842" s="431">
        <v>5.0</v>
      </c>
      <c r="N842" s="555"/>
      <c r="O842" s="431">
        <v>2.0</v>
      </c>
      <c r="P842" s="431">
        <v>4.0</v>
      </c>
      <c r="Q842" s="464">
        <v>2.0</v>
      </c>
      <c r="R842" s="465"/>
      <c r="S842" s="466">
        <f>IF(ISTEXT($V842), "TBD", RANK(V842,$V838:$V844))</f>
        <v>3</v>
      </c>
      <c r="T842" s="467">
        <v>1.0</v>
      </c>
      <c r="U842" s="468" t="b">
        <f>Rankings!$S842=Rankings!$T842</f>
        <v>0</v>
      </c>
      <c r="V842" s="553">
        <f>IF(ISTEXT(Rankings!F842), "TBD", (RANK($F842,$F838:$F844) + IF(ISTEXT($H842), 0, (RANK($H842,$H838:$H844)/10)) + (RANK($G842,$G838:$G844)/100)))</f>
        <v>4.33</v>
      </c>
      <c r="W842" s="153"/>
    </row>
    <row r="843" ht="15.75" customHeight="1">
      <c r="A843" s="134"/>
      <c r="B843" s="134"/>
      <c r="C843" s="134"/>
      <c r="D843" s="562">
        <f t="shared" si="122"/>
        <v>46190</v>
      </c>
      <c r="E843" s="472" t="str">
        <f>$P$1</f>
        <v>Weston</v>
      </c>
      <c r="F843" s="418">
        <f>IFERROR(AVERAGE(Rankings!$K843:$R843), "TBD")</f>
        <v>1.333333333</v>
      </c>
      <c r="G843" s="418">
        <f>IFERROR(_xlfn.STDEV.P(Rankings!$K843:$R843), "TBD")</f>
        <v>0.7453559925</v>
      </c>
      <c r="H843" s="418">
        <f>IFERROR(AVERAGE(Rankings!$K843:$O843, Rankings!$Q843:$R843), "TBD")</f>
        <v>1.4</v>
      </c>
      <c r="I843" s="440" t="s">
        <v>1943</v>
      </c>
      <c r="J843" s="440" t="s">
        <v>908</v>
      </c>
      <c r="K843" s="430">
        <v>3.0</v>
      </c>
      <c r="L843" s="431">
        <v>1.0</v>
      </c>
      <c r="M843" s="431">
        <v>1.0</v>
      </c>
      <c r="N843" s="555"/>
      <c r="O843" s="431">
        <v>1.0</v>
      </c>
      <c r="P843" s="431">
        <v>1.0</v>
      </c>
      <c r="Q843" s="464">
        <v>1.0</v>
      </c>
      <c r="R843" s="465"/>
      <c r="S843" s="466">
        <f>IF(ISTEXT($V843), "TBD", RANK(V843,$V838:$V844))</f>
        <v>1</v>
      </c>
      <c r="T843" s="467">
        <v>1.0</v>
      </c>
      <c r="U843" s="468" t="b">
        <f>Rankings!$S843=Rankings!$T843</f>
        <v>1</v>
      </c>
      <c r="V843" s="553">
        <f>IF(ISTEXT(Rankings!F843), "TBD", (RANK($F843,$F838:$F844) + IF(ISTEXT($H843), 0, (RANK($H843,$H838:$H844)/10)) + (RANK($G843,$G838:$G844)/100)))</f>
        <v>6.65</v>
      </c>
      <c r="W843" s="153"/>
    </row>
    <row r="844" ht="15.75" customHeight="1">
      <c r="A844" s="189"/>
      <c r="B844" s="189"/>
      <c r="C844" s="189"/>
      <c r="D844" s="563">
        <f t="shared" si="122"/>
        <v>46190</v>
      </c>
      <c r="E844" s="131" t="str">
        <f>$Q$1</f>
        <v>Flocco</v>
      </c>
      <c r="F844" s="474">
        <f>IFERROR(AVERAGE(Rankings!$K844:$R844), "TBD")</f>
        <v>3.833333333</v>
      </c>
      <c r="G844" s="474">
        <f>IFERROR(_xlfn.STDEV.P(Rankings!$K844:$R844), "TBD")</f>
        <v>1.343709625</v>
      </c>
      <c r="H844" s="474">
        <f>IFERROR(AVERAGE(Rankings!$K844:$P844, Rankings!$R844), "TBD")</f>
        <v>4</v>
      </c>
      <c r="I844" s="475" t="s">
        <v>1944</v>
      </c>
      <c r="J844" s="475" t="s">
        <v>1945</v>
      </c>
      <c r="K844" s="430">
        <v>2.0</v>
      </c>
      <c r="L844" s="431">
        <v>6.0</v>
      </c>
      <c r="M844" s="431">
        <v>4.0</v>
      </c>
      <c r="N844" s="555"/>
      <c r="O844" s="431">
        <v>3.0</v>
      </c>
      <c r="P844" s="431">
        <v>5.0</v>
      </c>
      <c r="Q844" s="464">
        <v>3.0</v>
      </c>
      <c r="R844" s="465"/>
      <c r="S844" s="466">
        <f>IF(ISTEXT($V844), "TBD", RANK(V844,$V838:$V844))</f>
        <v>4</v>
      </c>
      <c r="T844" s="467">
        <v>1.0</v>
      </c>
      <c r="U844" s="468" t="b">
        <f>Rankings!$S844=Rankings!$T844</f>
        <v>0</v>
      </c>
      <c r="V844" s="553">
        <f>IF(ISTEXT(Rankings!F844), "TBD", (RANK($F844,$F838:$F844) + IF(ISTEXT($H844), 0, (RANK($H844,$H838:$H844)/10)) + (RANK($G844,$G838:$G844)/100)))</f>
        <v>3.32</v>
      </c>
      <c r="W844" s="208"/>
    </row>
    <row r="845" ht="15.75" customHeight="1">
      <c r="A845" s="103">
        <v>46192.0</v>
      </c>
      <c r="B845" s="453"/>
      <c r="C845" s="454" t="str">
        <f t="array" ref="C845">INDEX(Rankings!$E845:$E851, MATCH(1, (Rankings!$D845:$D851=$A845)*(Rankings!$U845:$U851=TRUE()), 0))</f>
        <v>Giacomo</v>
      </c>
      <c r="D845" s="551">
        <f>A845</f>
        <v>46192</v>
      </c>
      <c r="E845" s="455" t="str">
        <f>$K$1</f>
        <v>Logan</v>
      </c>
      <c r="F845" s="400">
        <f>IFERROR(AVERAGE(Rankings!$K845:$R845), "TBD")</f>
        <v>2.5</v>
      </c>
      <c r="G845" s="400">
        <f>IFERROR(_xlfn.STDEV.P(Rankings!$K845:$R845), "TBD")</f>
        <v>1.5</v>
      </c>
      <c r="H845" s="400">
        <f>IFERROR(AVERAGE(Rankings!$L845:$R845), "TBD")</f>
        <v>2.8</v>
      </c>
      <c r="I845" s="421" t="s">
        <v>1946</v>
      </c>
      <c r="J845" s="421" t="s">
        <v>1947</v>
      </c>
      <c r="K845" s="422">
        <v>1.0</v>
      </c>
      <c r="L845" s="423">
        <v>4.0</v>
      </c>
      <c r="M845" s="423">
        <v>5.0</v>
      </c>
      <c r="N845" s="555"/>
      <c r="O845" s="423">
        <v>2.0</v>
      </c>
      <c r="P845" s="423">
        <v>1.0</v>
      </c>
      <c r="Q845" s="456">
        <v>2.0</v>
      </c>
      <c r="R845" s="457"/>
      <c r="S845" s="458">
        <f>IF(ISTEXT($V845), "TBD", RANK(V845,$V845:$V851))</f>
        <v>2</v>
      </c>
      <c r="T845" s="459">
        <v>1.0</v>
      </c>
      <c r="U845" s="460" t="b">
        <f>Rankings!$S845=Rankings!$T845</f>
        <v>0</v>
      </c>
      <c r="V845" s="553">
        <f>IF(ISTEXT(Rankings!F845), "TBD", (RANK($F845,$F845:$F851) + IF(ISTEXT($H845), 0, (RANK($H845,$H845:$H851)/10)) + (RANK($G845,$G845:$G851)/100)))</f>
        <v>4.42</v>
      </c>
      <c r="W845" s="573" t="s">
        <v>1948</v>
      </c>
    </row>
    <row r="846" ht="15.75" customHeight="1">
      <c r="A846" s="134"/>
      <c r="B846" s="134"/>
      <c r="C846" s="134"/>
      <c r="D846" s="554">
        <f>D845</f>
        <v>46192</v>
      </c>
      <c r="E846" s="463" t="str">
        <f>$L$1</f>
        <v>Parker</v>
      </c>
      <c r="F846" s="404">
        <f>IFERROR(AVERAGE(Rankings!$K846:$R846), "TBD")</f>
        <v>3</v>
      </c>
      <c r="G846" s="404">
        <f>IFERROR(_xlfn.STDEV.P(Rankings!$K846:$R846), "TBD")</f>
        <v>1.632993162</v>
      </c>
      <c r="H846" s="404">
        <f>IFERROR(AVERAGE(Rankings!$K846, Rankings!$M846:$R846), "TBD")</f>
        <v>3.4</v>
      </c>
      <c r="I846" s="429" t="s">
        <v>1949</v>
      </c>
      <c r="J846" s="429" t="s">
        <v>1950</v>
      </c>
      <c r="K846" s="430">
        <v>3.0</v>
      </c>
      <c r="L846" s="431">
        <v>1.0</v>
      </c>
      <c r="M846" s="431">
        <v>1.0</v>
      </c>
      <c r="N846" s="555"/>
      <c r="O846" s="431">
        <v>5.0</v>
      </c>
      <c r="P846" s="431">
        <v>5.0</v>
      </c>
      <c r="Q846" s="464">
        <v>3.0</v>
      </c>
      <c r="R846" s="465"/>
      <c r="S846" s="466">
        <f>IF(ISTEXT($V846), "TBD", RANK(V846,$V845:$V851))</f>
        <v>3</v>
      </c>
      <c r="T846" s="467">
        <v>1.0</v>
      </c>
      <c r="U846" s="468" t="b">
        <f>Rankings!$S846=Rankings!$T846</f>
        <v>0</v>
      </c>
      <c r="V846" s="553">
        <f>IF(ISTEXT(Rankings!F846), "TBD", (RANK($F846,$F845:$F851) + IF(ISTEXT($H846), 0, (RANK($H846,$H845:$H851)/10)) + (RANK($G846,$G845:$G851)/100)))</f>
        <v>3.31</v>
      </c>
      <c r="W846" s="153"/>
    </row>
    <row r="847" ht="15.75" customHeight="1">
      <c r="A847" s="134"/>
      <c r="B847" s="134"/>
      <c r="C847" s="134"/>
      <c r="D847" s="556">
        <f>D845</f>
        <v>46192</v>
      </c>
      <c r="E847" s="469" t="str">
        <f>$M$1</f>
        <v>Giacomo</v>
      </c>
      <c r="F847" s="408">
        <f>IFERROR(AVERAGE(Rankings!$K847:$R847), "TBD")</f>
        <v>1.833333333</v>
      </c>
      <c r="G847" s="408">
        <f>IFERROR(_xlfn.STDEV.P(Rankings!$K847:$R847), "TBD")</f>
        <v>0.6871842709</v>
      </c>
      <c r="H847" s="408">
        <f>IFERROR(AVERAGE(Rankings!$K847:$L847, Rankings!$N847:$R847), "TBD")</f>
        <v>1.8</v>
      </c>
      <c r="I847" s="437" t="s">
        <v>1951</v>
      </c>
      <c r="J847" s="437" t="s">
        <v>981</v>
      </c>
      <c r="K847" s="430">
        <v>2.0</v>
      </c>
      <c r="L847" s="431">
        <v>3.0</v>
      </c>
      <c r="M847" s="431">
        <v>2.0</v>
      </c>
      <c r="N847" s="555"/>
      <c r="O847" s="431">
        <v>1.0</v>
      </c>
      <c r="P847" s="431">
        <v>2.0</v>
      </c>
      <c r="Q847" s="464">
        <v>1.0</v>
      </c>
      <c r="R847" s="465"/>
      <c r="S847" s="466">
        <f>IF(ISTEXT($V847), "TBD", RANK(V847,$V845:$V851))</f>
        <v>1</v>
      </c>
      <c r="T847" s="467">
        <v>1.0</v>
      </c>
      <c r="U847" s="468" t="b">
        <f>Rankings!$S847=Rankings!$T847</f>
        <v>1</v>
      </c>
      <c r="V847" s="553">
        <f>IF(ISTEXT(Rankings!F847), "TBD", (RANK($F847,$F845:$F851) + IF(ISTEXT($H847), 0, (RANK($H847,$H845:$H851)/10)) + (RANK($G847,$G845:$G851)/100)))</f>
        <v>5.55</v>
      </c>
      <c r="W847" s="153"/>
    </row>
    <row r="848" ht="15.75" customHeight="1">
      <c r="A848" s="134"/>
      <c r="B848" s="134"/>
      <c r="C848" s="134"/>
      <c r="D848" s="557">
        <f>D845</f>
        <v>46192</v>
      </c>
      <c r="E848" s="470" t="str">
        <f>$N$1</f>
        <v>Rosey</v>
      </c>
      <c r="F848" s="411" t="str">
        <f>IFERROR(AVERAGE(Rankings!$K848:$R848), "TBD")</f>
        <v>TBD</v>
      </c>
      <c r="G848" s="411" t="str">
        <f>IFERROR(_xlfn.STDEV.P(Rankings!$K848:$R848), "TBD")</f>
        <v>TBD</v>
      </c>
      <c r="H848" s="411" t="str">
        <f>IFERROR(AVERAGE(Rankings!$K848:$M848, Rankings!$O848:$R848), "TBD")</f>
        <v>TBD</v>
      </c>
      <c r="I848" s="568"/>
      <c r="J848" s="568"/>
      <c r="K848" s="565"/>
      <c r="L848" s="566"/>
      <c r="M848" s="431" t="s">
        <v>1952</v>
      </c>
      <c r="N848" s="555"/>
      <c r="O848" s="431" t="s">
        <v>1697</v>
      </c>
      <c r="P848" s="431" t="s">
        <v>1698</v>
      </c>
      <c r="Q848" s="464" t="s">
        <v>1766</v>
      </c>
      <c r="R848" s="465"/>
      <c r="S848" s="466" t="str">
        <f>IF(ISTEXT($V848), "TBD", RANK(V848,$V845:$V851))</f>
        <v>TBD</v>
      </c>
      <c r="T848" s="467">
        <v>1.0</v>
      </c>
      <c r="U848" s="468" t="b">
        <f>Rankings!$S848=Rankings!$T848</f>
        <v>0</v>
      </c>
      <c r="V848" s="553" t="str">
        <f>IF(ISTEXT(Rankings!F848), "TBD", (RANK($F848,$F845:$F851) + IF(ISTEXT($H848), 0, (RANK($H848,$H845:$H851)/10)) + (RANK($G848,$G845:$G851)/100)))</f>
        <v>TBD</v>
      </c>
      <c r="W848" s="153"/>
    </row>
    <row r="849" ht="15.75" customHeight="1">
      <c r="A849" s="134"/>
      <c r="B849" s="134"/>
      <c r="C849" s="134"/>
      <c r="D849" s="561">
        <f t="shared" ref="D849:D851" si="123">D845</f>
        <v>46192</v>
      </c>
      <c r="E849" s="471" t="str">
        <f>$O$1</f>
        <v>TTAC</v>
      </c>
      <c r="F849" s="414">
        <f>IFERROR(AVERAGE(Rankings!$K849:$R849), "TBD")</f>
        <v>4.166666667</v>
      </c>
      <c r="G849" s="414">
        <f>IFERROR(_xlfn.STDEV.P(Rankings!$K849:$R849), "TBD")</f>
        <v>0.6871842709</v>
      </c>
      <c r="H849" s="414">
        <f>IFERROR(AVERAGE(Rankings!$K849:$N849, Rankings!$P849:$R849), "TBD")</f>
        <v>4.4</v>
      </c>
      <c r="I849" s="439" t="s">
        <v>1953</v>
      </c>
      <c r="J849" s="439" t="s">
        <v>1954</v>
      </c>
      <c r="K849" s="430">
        <v>5.0</v>
      </c>
      <c r="L849" s="431">
        <v>5.0</v>
      </c>
      <c r="M849" s="431">
        <v>4.0</v>
      </c>
      <c r="N849" s="555"/>
      <c r="O849" s="431">
        <v>3.0</v>
      </c>
      <c r="P849" s="431">
        <v>4.0</v>
      </c>
      <c r="Q849" s="464">
        <v>4.0</v>
      </c>
      <c r="R849" s="465"/>
      <c r="S849" s="466">
        <f>IF(ISTEXT($V849), "TBD", RANK(V849,$V845:$V851))</f>
        <v>5</v>
      </c>
      <c r="T849" s="467">
        <v>1.0</v>
      </c>
      <c r="U849" s="468" t="b">
        <f>Rankings!$S849=Rankings!$T849</f>
        <v>0</v>
      </c>
      <c r="V849" s="553">
        <f>IF(ISTEXT(Rankings!F849), "TBD", (RANK($F849,$F845:$F851) + IF(ISTEXT($H849), 0, (RANK($H849,$H845:$H851)/10)) + (RANK($G849,$G845:$G851)/100)))</f>
        <v>1.14</v>
      </c>
      <c r="W849" s="153"/>
    </row>
    <row r="850" ht="15.75" customHeight="1">
      <c r="A850" s="134"/>
      <c r="B850" s="134"/>
      <c r="C850" s="134"/>
      <c r="D850" s="562">
        <f t="shared" si="123"/>
        <v>46192</v>
      </c>
      <c r="E850" s="472" t="str">
        <f>$P$1</f>
        <v>Weston</v>
      </c>
      <c r="F850" s="418">
        <f>IFERROR(AVERAGE(Rankings!$K850:$R850), "TBD")</f>
        <v>3.5</v>
      </c>
      <c r="G850" s="418">
        <f>IFERROR(_xlfn.STDEV.P(Rankings!$K850:$R850), "TBD")</f>
        <v>0.9574271078</v>
      </c>
      <c r="H850" s="418">
        <f>IFERROR(AVERAGE(Rankings!$K850:$O850, Rankings!$Q850:$R850), "TBD")</f>
        <v>3.6</v>
      </c>
      <c r="I850" s="440" t="s">
        <v>1955</v>
      </c>
      <c r="J850" s="440" t="s">
        <v>1956</v>
      </c>
      <c r="K850" s="430">
        <v>4.0</v>
      </c>
      <c r="L850" s="431">
        <v>2.0</v>
      </c>
      <c r="M850" s="431">
        <v>3.0</v>
      </c>
      <c r="N850" s="555"/>
      <c r="O850" s="431">
        <v>4.0</v>
      </c>
      <c r="P850" s="431">
        <v>3.0</v>
      </c>
      <c r="Q850" s="464">
        <v>5.0</v>
      </c>
      <c r="R850" s="465"/>
      <c r="S850" s="466">
        <f>IF(ISTEXT($V850), "TBD", RANK(V850,$V845:$V851))</f>
        <v>4</v>
      </c>
      <c r="T850" s="467">
        <v>1.0</v>
      </c>
      <c r="U850" s="468" t="b">
        <f>Rankings!$S850=Rankings!$T850</f>
        <v>0</v>
      </c>
      <c r="V850" s="553">
        <f>IF(ISTEXT(Rankings!F850), "TBD", (RANK($F850,$F845:$F851) + IF(ISTEXT($H850), 0, (RANK($H850,$H845:$H851)/10)) + (RANK($G850,$G845:$G851)/100)))</f>
        <v>2.23</v>
      </c>
      <c r="W850" s="153"/>
    </row>
    <row r="851" ht="15.75" customHeight="1">
      <c r="A851" s="189"/>
      <c r="B851" s="189"/>
      <c r="C851" s="189"/>
      <c r="D851" s="563">
        <f t="shared" si="123"/>
        <v>46192</v>
      </c>
      <c r="E851" s="131" t="str">
        <f>$Q$1</f>
        <v>Flocco</v>
      </c>
      <c r="F851" s="474" t="str">
        <f>IFERROR(AVERAGE(Rankings!$K851:$R851), "TBD")</f>
        <v>TBD</v>
      </c>
      <c r="G851" s="474" t="str">
        <f>IFERROR(_xlfn.STDEV.P(Rankings!$K851:$R851), "TBD")</f>
        <v>TBD</v>
      </c>
      <c r="H851" s="474" t="str">
        <f>IFERROR(AVERAGE(Rankings!$K851:$P851, Rankings!$R851), "TBD")</f>
        <v>TBD</v>
      </c>
      <c r="I851" s="475"/>
      <c r="J851" s="475"/>
      <c r="K851" s="574"/>
      <c r="L851" s="575"/>
      <c r="M851" s="555"/>
      <c r="N851" s="555"/>
      <c r="O851" s="575"/>
      <c r="P851" s="575"/>
      <c r="Q851" s="555"/>
      <c r="R851" s="465"/>
      <c r="S851" s="466" t="str">
        <f>IF(ISTEXT($V851), "TBD", RANK(V851,$V845:$V851))</f>
        <v>TBD</v>
      </c>
      <c r="T851" s="467">
        <v>1.0</v>
      </c>
      <c r="U851" s="468" t="b">
        <f>Rankings!$S851=Rankings!$T851</f>
        <v>0</v>
      </c>
      <c r="V851" s="553" t="str">
        <f>IF(ISTEXT(Rankings!F851), "TBD", (RANK($F851,$F845:$F851) + IF(ISTEXT($H851), 0, (RANK($H851,$H845:$H851)/10)) + (RANK($G851,$G845:$G851)/100)))</f>
        <v>TBD</v>
      </c>
      <c r="W851" s="208"/>
    </row>
    <row r="852" ht="15.75" customHeight="1">
      <c r="A852" s="103">
        <v>46195.0</v>
      </c>
      <c r="B852" s="453"/>
      <c r="C852" s="454" t="str">
        <f t="array" ref="C852">INDEX(Rankings!$E852:$E858, MATCH(1, (Rankings!$D852:$D858=$A852)*(Rankings!$U852:$U858=TRUE()), 0))</f>
        <v>Weston</v>
      </c>
      <c r="D852" s="551">
        <f>A852</f>
        <v>46195</v>
      </c>
      <c r="E852" s="455" t="str">
        <f>$K$1</f>
        <v>Logan</v>
      </c>
      <c r="F852" s="400">
        <f>IFERROR(AVERAGE(Rankings!$K852:$R852), "TBD")</f>
        <v>5.333333333</v>
      </c>
      <c r="G852" s="400">
        <f>IFERROR(_xlfn.STDEV.P(Rankings!$K852:$R852), "TBD")</f>
        <v>0.7453559925</v>
      </c>
      <c r="H852" s="400">
        <f>IFERROR(AVERAGE(Rankings!$L852:$R852), "TBD")</f>
        <v>5.4</v>
      </c>
      <c r="I852" s="421" t="s">
        <v>1957</v>
      </c>
      <c r="J852" s="421" t="s">
        <v>1958</v>
      </c>
      <c r="K852" s="422">
        <v>5.0</v>
      </c>
      <c r="L852" s="423">
        <v>6.0</v>
      </c>
      <c r="M852" s="423">
        <v>4.0</v>
      </c>
      <c r="N852" s="555"/>
      <c r="O852" s="423">
        <v>6.0</v>
      </c>
      <c r="P852" s="423">
        <v>5.0</v>
      </c>
      <c r="Q852" s="456">
        <v>6.0</v>
      </c>
      <c r="R852" s="457"/>
      <c r="S852" s="458">
        <f>IF(ISTEXT($V852), "TBD", RANK(V852,$V852:$V858))</f>
        <v>6</v>
      </c>
      <c r="T852" s="459">
        <v>1.0</v>
      </c>
      <c r="U852" s="460" t="b">
        <f>Rankings!$S852=Rankings!$T852</f>
        <v>0</v>
      </c>
      <c r="V852" s="553">
        <f>IF(ISTEXT(Rankings!F852), "TBD", (RANK($F852,$F852:$F858) + IF(ISTEXT($H852), 0, (RANK($H852,$H852:$H858)/10)) + (RANK($G852,$G852:$G858)/100)))</f>
        <v>1.16</v>
      </c>
      <c r="W852" s="329"/>
    </row>
    <row r="853" ht="15.75" customHeight="1">
      <c r="A853" s="134"/>
      <c r="B853" s="134"/>
      <c r="C853" s="134"/>
      <c r="D853" s="554">
        <f>D852</f>
        <v>46195</v>
      </c>
      <c r="E853" s="463" t="str">
        <f>$L$1</f>
        <v>Parker</v>
      </c>
      <c r="F853" s="404">
        <f>IFERROR(AVERAGE(Rankings!$K853:$R853), "TBD")</f>
        <v>4.5</v>
      </c>
      <c r="G853" s="404">
        <f>IFERROR(_xlfn.STDEV.P(Rankings!$K853:$R853), "TBD")</f>
        <v>1.118033989</v>
      </c>
      <c r="H853" s="404">
        <f>IFERROR(AVERAGE(Rankings!$K853, Rankings!$M853:$R853), "TBD")</f>
        <v>4.6</v>
      </c>
      <c r="I853" s="429" t="s">
        <v>1959</v>
      </c>
      <c r="J853" s="429" t="s">
        <v>1960</v>
      </c>
      <c r="K853" s="430">
        <v>3.0</v>
      </c>
      <c r="L853" s="431">
        <v>4.0</v>
      </c>
      <c r="M853" s="431">
        <v>6.0</v>
      </c>
      <c r="N853" s="555"/>
      <c r="O853" s="431">
        <v>4.0</v>
      </c>
      <c r="P853" s="431">
        <v>6.0</v>
      </c>
      <c r="Q853" s="464">
        <v>4.0</v>
      </c>
      <c r="R853" s="465"/>
      <c r="S853" s="466">
        <f>IF(ISTEXT($V853), "TBD", RANK(V853,$V852:$V858))</f>
        <v>4</v>
      </c>
      <c r="T853" s="467">
        <v>1.0</v>
      </c>
      <c r="U853" s="468" t="b">
        <f>Rankings!$S853=Rankings!$T853</f>
        <v>0</v>
      </c>
      <c r="V853" s="553">
        <f>IF(ISTEXT(Rankings!F853), "TBD", (RANK($F853,$F852:$F858) + IF(ISTEXT($H853), 0, (RANK($H853,$H852:$H858)/10)) + (RANK($G853,$G852:$G858)/100)))</f>
        <v>2.33</v>
      </c>
      <c r="W853" s="153"/>
    </row>
    <row r="854" ht="15.75" customHeight="1">
      <c r="A854" s="134"/>
      <c r="B854" s="134"/>
      <c r="C854" s="134"/>
      <c r="D854" s="556">
        <f>D852</f>
        <v>46195</v>
      </c>
      <c r="E854" s="469" t="str">
        <f>$M$1</f>
        <v>Giacomo</v>
      </c>
      <c r="F854" s="408">
        <f>IFERROR(AVERAGE(Rankings!$K854:$R854), "TBD")</f>
        <v>4.5</v>
      </c>
      <c r="G854" s="408">
        <f>IFERROR(_xlfn.STDEV.P(Rankings!$K854:$R854), "TBD")</f>
        <v>1.258305739</v>
      </c>
      <c r="H854" s="408">
        <f>IFERROR(AVERAGE(Rankings!$K854:$L854, Rankings!$N854:$R854), "TBD")</f>
        <v>5</v>
      </c>
      <c r="I854" s="437" t="s">
        <v>1961</v>
      </c>
      <c r="J854" s="437" t="s">
        <v>1962</v>
      </c>
      <c r="K854" s="430">
        <v>6.0</v>
      </c>
      <c r="L854" s="431">
        <v>5.0</v>
      </c>
      <c r="M854" s="431">
        <v>2.0</v>
      </c>
      <c r="N854" s="555"/>
      <c r="O854" s="431">
        <v>5.0</v>
      </c>
      <c r="P854" s="431">
        <v>4.0</v>
      </c>
      <c r="Q854" s="464">
        <v>5.0</v>
      </c>
      <c r="R854" s="465"/>
      <c r="S854" s="466">
        <f>IF(ISTEXT($V854), "TBD", RANK(V854,$V852:$V858))</f>
        <v>5</v>
      </c>
      <c r="T854" s="467">
        <v>1.0</v>
      </c>
      <c r="U854" s="468" t="b">
        <f>Rankings!$S854=Rankings!$T854</f>
        <v>0</v>
      </c>
      <c r="V854" s="553">
        <f>IF(ISTEXT(Rankings!F854), "TBD", (RANK($F854,$F852:$F858) + IF(ISTEXT($H854), 0, (RANK($H854,$H852:$H858)/10)) + (RANK($G854,$G852:$G858)/100)))</f>
        <v>2.22</v>
      </c>
      <c r="W854" s="153"/>
    </row>
    <row r="855" ht="15.75" customHeight="1">
      <c r="A855" s="134"/>
      <c r="B855" s="134"/>
      <c r="C855" s="134"/>
      <c r="D855" s="557">
        <f>D852</f>
        <v>46195</v>
      </c>
      <c r="E855" s="470" t="str">
        <f>$N$1</f>
        <v>Rosey</v>
      </c>
      <c r="F855" s="411" t="str">
        <f>IFERROR(AVERAGE(Rankings!$K855:$R855), "TBD")</f>
        <v>TBD</v>
      </c>
      <c r="G855" s="411" t="str">
        <f>IFERROR(_xlfn.STDEV.P(Rankings!$K855:$R855), "TBD")</f>
        <v>TBD</v>
      </c>
      <c r="H855" s="411" t="str">
        <f>IFERROR(AVERAGE(Rankings!$K855:$M855, Rankings!$O855:$R855), "TBD")</f>
        <v>TBD</v>
      </c>
      <c r="I855" s="568"/>
      <c r="J855" s="568"/>
      <c r="K855" s="565"/>
      <c r="L855" s="566"/>
      <c r="M855" s="431" t="s">
        <v>1963</v>
      </c>
      <c r="N855" s="555"/>
      <c r="O855" s="431" t="s">
        <v>1697</v>
      </c>
      <c r="P855" s="431" t="s">
        <v>1698</v>
      </c>
      <c r="Q855" s="464" t="s">
        <v>1766</v>
      </c>
      <c r="R855" s="465"/>
      <c r="S855" s="466" t="str">
        <f>IF(ISTEXT($V855), "TBD", RANK(V855,$V852:$V858))</f>
        <v>TBD</v>
      </c>
      <c r="T855" s="467">
        <v>1.0</v>
      </c>
      <c r="U855" s="468" t="b">
        <f>Rankings!$S855=Rankings!$T855</f>
        <v>0</v>
      </c>
      <c r="V855" s="553" t="str">
        <f>IF(ISTEXT(Rankings!F855), "TBD", (RANK($F855,$F852:$F858) + IF(ISTEXT($H855), 0, (RANK($H855,$H852:$H858)/10)) + (RANK($G855,$G852:$G858)/100)))</f>
        <v>TBD</v>
      </c>
      <c r="W855" s="153"/>
    </row>
    <row r="856" ht="15.75" customHeight="1">
      <c r="A856" s="134"/>
      <c r="B856" s="134"/>
      <c r="C856" s="134"/>
      <c r="D856" s="561">
        <f t="shared" ref="D856:D858" si="124">D852</f>
        <v>46195</v>
      </c>
      <c r="E856" s="471" t="str">
        <f>$O$1</f>
        <v>TTAC</v>
      </c>
      <c r="F856" s="414">
        <f>IFERROR(AVERAGE(Rankings!$K856:$R856), "TBD")</f>
        <v>2.5</v>
      </c>
      <c r="G856" s="414">
        <f>IFERROR(_xlfn.STDEV.P(Rankings!$K856:$R856), "TBD")</f>
        <v>1.38443731</v>
      </c>
      <c r="H856" s="414">
        <f>IFERROR(AVERAGE(Rankings!$K856:$N856, Rankings!$P856:$R856), "TBD")</f>
        <v>2.8</v>
      </c>
      <c r="I856" s="439" t="s">
        <v>1964</v>
      </c>
      <c r="J856" s="439" t="s">
        <v>1965</v>
      </c>
      <c r="K856" s="430">
        <v>2.0</v>
      </c>
      <c r="L856" s="431">
        <v>3.0</v>
      </c>
      <c r="M856" s="431">
        <v>5.0</v>
      </c>
      <c r="N856" s="555"/>
      <c r="O856" s="431">
        <v>1.0</v>
      </c>
      <c r="P856" s="431">
        <v>1.0</v>
      </c>
      <c r="Q856" s="464">
        <v>3.0</v>
      </c>
      <c r="R856" s="465"/>
      <c r="S856" s="466">
        <f>IF(ISTEXT($V856), "TBD", RANK(V856,$V852:$V858))</f>
        <v>3</v>
      </c>
      <c r="T856" s="467">
        <v>1.0</v>
      </c>
      <c r="U856" s="468" t="b">
        <f>Rankings!$S856=Rankings!$T856</f>
        <v>0</v>
      </c>
      <c r="V856" s="553">
        <f>IF(ISTEXT(Rankings!F856), "TBD", (RANK($F856,$F852:$F858) + IF(ISTEXT($H856), 0, (RANK($H856,$H852:$H858)/10)) + (RANK($G856,$G852:$G858)/100)))</f>
        <v>4.41</v>
      </c>
      <c r="W856" s="153"/>
    </row>
    <row r="857" ht="15.75" customHeight="1">
      <c r="A857" s="134"/>
      <c r="B857" s="134"/>
      <c r="C857" s="134"/>
      <c r="D857" s="562">
        <f t="shared" si="124"/>
        <v>46195</v>
      </c>
      <c r="E857" s="472" t="str">
        <f>$P$1</f>
        <v>Weston</v>
      </c>
      <c r="F857" s="418">
        <f>IFERROR(AVERAGE(Rankings!$K857:$R857), "TBD")</f>
        <v>2</v>
      </c>
      <c r="G857" s="418">
        <f>IFERROR(_xlfn.STDEV.P(Rankings!$K857:$R857), "TBD")</f>
        <v>0.8164965809</v>
      </c>
      <c r="H857" s="418">
        <f>IFERROR(AVERAGE(Rankings!$K857:$O857, Rankings!$Q857:$R857), "TBD")</f>
        <v>1.8</v>
      </c>
      <c r="I857" s="440" t="s">
        <v>1966</v>
      </c>
      <c r="J857" s="440" t="s">
        <v>1967</v>
      </c>
      <c r="K857" s="430">
        <v>1.0</v>
      </c>
      <c r="L857" s="431">
        <v>1.0</v>
      </c>
      <c r="M857" s="431">
        <v>3.0</v>
      </c>
      <c r="N857" s="555"/>
      <c r="O857" s="431">
        <v>2.0</v>
      </c>
      <c r="P857" s="431">
        <v>3.0</v>
      </c>
      <c r="Q857" s="464">
        <v>2.0</v>
      </c>
      <c r="R857" s="465"/>
      <c r="S857" s="466">
        <f>IF(ISTEXT($V857), "TBD", RANK(V857,$V852:$V858))</f>
        <v>1</v>
      </c>
      <c r="T857" s="467">
        <v>1.0</v>
      </c>
      <c r="U857" s="468" t="b">
        <f>Rankings!$S857=Rankings!$T857</f>
        <v>1</v>
      </c>
      <c r="V857" s="553">
        <f>IF(ISTEXT(Rankings!F857), "TBD", (RANK($F857,$F852:$F858) + IF(ISTEXT($H857), 0, (RANK($H857,$H852:$H858)/10)) + (RANK($G857,$G852:$G858)/100)))</f>
        <v>6.65</v>
      </c>
      <c r="W857" s="153"/>
    </row>
    <row r="858" ht="15.75" customHeight="1">
      <c r="A858" s="189"/>
      <c r="B858" s="189"/>
      <c r="C858" s="189"/>
      <c r="D858" s="563">
        <f t="shared" si="124"/>
        <v>46195</v>
      </c>
      <c r="E858" s="131" t="str">
        <f>$Q$1</f>
        <v>Flocco</v>
      </c>
      <c r="F858" s="474">
        <f>IFERROR(AVERAGE(Rankings!$K858:$R858), "TBD")</f>
        <v>2.166666667</v>
      </c>
      <c r="G858" s="474">
        <f>IFERROR(_xlfn.STDEV.P(Rankings!$K858:$R858), "TBD")</f>
        <v>1.067187373</v>
      </c>
      <c r="H858" s="474">
        <f>IFERROR(AVERAGE(Rankings!$K858:$P858, Rankings!$R858), "TBD")</f>
        <v>2.4</v>
      </c>
      <c r="I858" s="475" t="s">
        <v>1968</v>
      </c>
      <c r="J858" s="475" t="s">
        <v>1969</v>
      </c>
      <c r="K858" s="430">
        <v>4.0</v>
      </c>
      <c r="L858" s="431">
        <v>2.0</v>
      </c>
      <c r="M858" s="431">
        <v>1.0</v>
      </c>
      <c r="N858" s="555"/>
      <c r="O858" s="431">
        <v>3.0</v>
      </c>
      <c r="P858" s="431">
        <v>2.0</v>
      </c>
      <c r="Q858" s="464">
        <v>1.0</v>
      </c>
      <c r="R858" s="465"/>
      <c r="S858" s="466">
        <f>IF(ISTEXT($V858), "TBD", RANK(V858,$V852:$V858))</f>
        <v>2</v>
      </c>
      <c r="T858" s="467">
        <v>1.0</v>
      </c>
      <c r="U858" s="468" t="b">
        <f>Rankings!$S858=Rankings!$T858</f>
        <v>0</v>
      </c>
      <c r="V858" s="553">
        <f>IF(ISTEXT(Rankings!F858), "TBD", (RANK($F858,$F852:$F858) + IF(ISTEXT($H858), 0, (RANK($H858,$H852:$H858)/10)) + (RANK($G858,$G852:$G858)/100)))</f>
        <v>5.54</v>
      </c>
      <c r="W858" s="208"/>
    </row>
    <row r="859" ht="15.75" customHeight="1">
      <c r="A859" s="103">
        <v>46197.0</v>
      </c>
      <c r="B859" s="453"/>
      <c r="C859" s="454" t="str">
        <f t="array" ref="C859">INDEX(Rankings!$E859:$E865, MATCH(1, (Rankings!$D859:$D865=$A859)*(Rankings!$U859:$U865=TRUE()), 0))</f>
        <v>Logan</v>
      </c>
      <c r="D859" s="551">
        <f>A859</f>
        <v>46197</v>
      </c>
      <c r="E859" s="455" t="str">
        <f>$K$1</f>
        <v>Logan</v>
      </c>
      <c r="F859" s="400">
        <f>IFERROR(AVERAGE(Rankings!$K859:$R859), "TBD")</f>
        <v>2.833333333</v>
      </c>
      <c r="G859" s="400">
        <f>IFERROR(_xlfn.STDEV.P(Rankings!$K859:$R859), "TBD")</f>
        <v>1.950783318</v>
      </c>
      <c r="H859" s="400">
        <f>IFERROR(AVERAGE(Rankings!$L859:$R859), "TBD")</f>
        <v>3.2</v>
      </c>
      <c r="I859" s="421" t="s">
        <v>1970</v>
      </c>
      <c r="J859" s="421" t="s">
        <v>1971</v>
      </c>
      <c r="K859" s="422">
        <v>1.0</v>
      </c>
      <c r="L859" s="423">
        <v>1.0</v>
      </c>
      <c r="M859" s="423">
        <v>5.0</v>
      </c>
      <c r="N859" s="555"/>
      <c r="O859" s="423">
        <v>6.0</v>
      </c>
      <c r="P859" s="423">
        <v>2.0</v>
      </c>
      <c r="Q859" s="456">
        <v>2.0</v>
      </c>
      <c r="R859" s="457"/>
      <c r="S859" s="458">
        <f>IF(ISTEXT($V859), "TBD", RANK(V859,$V859:$V865))</f>
        <v>1</v>
      </c>
      <c r="T859" s="459">
        <v>1.0</v>
      </c>
      <c r="U859" s="460" t="b">
        <f>Rankings!$S859=Rankings!$T859</f>
        <v>1</v>
      </c>
      <c r="V859" s="553">
        <f>IF(ISTEXT(Rankings!F859), "TBD", (RANK($F859,$F859:$F865) + IF(ISTEXT($H859), 0, (RANK($H859,$H859:$H865)/10)) + (RANK($G859,$G859:$G865)/100)))</f>
        <v>6.52</v>
      </c>
      <c r="W859" s="329"/>
    </row>
    <row r="860" ht="15.75" customHeight="1">
      <c r="A860" s="134"/>
      <c r="B860" s="134"/>
      <c r="C860" s="134"/>
      <c r="D860" s="554">
        <f>D859</f>
        <v>46197</v>
      </c>
      <c r="E860" s="463" t="str">
        <f>$L$1</f>
        <v>Parker</v>
      </c>
      <c r="F860" s="404">
        <f>IFERROR(AVERAGE(Rankings!$K860:$R860), "TBD")</f>
        <v>3.666666667</v>
      </c>
      <c r="G860" s="404">
        <f>IFERROR(_xlfn.STDEV.P(Rankings!$K860:$R860), "TBD")</f>
        <v>2.054804668</v>
      </c>
      <c r="H860" s="404">
        <f>IFERROR(AVERAGE(Rankings!$K860, Rankings!$M860:$R860), "TBD")</f>
        <v>3.6</v>
      </c>
      <c r="I860" s="429" t="s">
        <v>1972</v>
      </c>
      <c r="J860" s="429" t="s">
        <v>1973</v>
      </c>
      <c r="K860" s="430">
        <v>4.0</v>
      </c>
      <c r="L860" s="431">
        <v>4.0</v>
      </c>
      <c r="M860" s="431">
        <v>6.0</v>
      </c>
      <c r="N860" s="555"/>
      <c r="O860" s="431">
        <v>1.0</v>
      </c>
      <c r="P860" s="431">
        <v>6.0</v>
      </c>
      <c r="Q860" s="464">
        <v>1.0</v>
      </c>
      <c r="R860" s="465"/>
      <c r="S860" s="466">
        <f>IF(ISTEXT($V860), "TBD", RANK(V860,$V859:$V865))</f>
        <v>4</v>
      </c>
      <c r="T860" s="467">
        <v>1.0</v>
      </c>
      <c r="U860" s="468" t="b">
        <f>Rankings!$S860=Rankings!$T860</f>
        <v>0</v>
      </c>
      <c r="V860" s="553">
        <f>IF(ISTEXT(Rankings!F860), "TBD", (RANK($F860,$F859:$F865) + IF(ISTEXT($H860), 0, (RANK($H860,$H859:$H865)/10)) + (RANK($G860,$G859:$G865)/100)))</f>
        <v>3.31</v>
      </c>
      <c r="W860" s="153"/>
    </row>
    <row r="861" ht="15.75" customHeight="1">
      <c r="A861" s="134"/>
      <c r="B861" s="134"/>
      <c r="C861" s="134"/>
      <c r="D861" s="556">
        <f>D859</f>
        <v>46197</v>
      </c>
      <c r="E861" s="469" t="str">
        <f>$M$1</f>
        <v>Giacomo</v>
      </c>
      <c r="F861" s="408">
        <f>IFERROR(AVERAGE(Rankings!$K861:$R861), "TBD")</f>
        <v>3.833333333</v>
      </c>
      <c r="G861" s="408">
        <f>IFERROR(_xlfn.STDEV.P(Rankings!$K861:$R861), "TBD")</f>
        <v>1.572330189</v>
      </c>
      <c r="H861" s="408">
        <f>IFERROR(AVERAGE(Rankings!$K861:$L861, Rankings!$N861:$R861), "TBD")</f>
        <v>4.4</v>
      </c>
      <c r="I861" s="437" t="s">
        <v>1974</v>
      </c>
      <c r="J861" s="437" t="s">
        <v>1975</v>
      </c>
      <c r="K861" s="430">
        <v>6.0</v>
      </c>
      <c r="L861" s="431">
        <v>3.0</v>
      </c>
      <c r="M861" s="431">
        <v>1.0</v>
      </c>
      <c r="N861" s="555"/>
      <c r="O861" s="431">
        <v>4.0</v>
      </c>
      <c r="P861" s="431">
        <v>5.0</v>
      </c>
      <c r="Q861" s="464">
        <v>4.0</v>
      </c>
      <c r="R861" s="465"/>
      <c r="S861" s="466">
        <f>IF(ISTEXT($V861), "TBD", RANK(V861,$V859:$V865))</f>
        <v>5</v>
      </c>
      <c r="T861" s="467">
        <v>1.0</v>
      </c>
      <c r="U861" s="468" t="b">
        <f>Rankings!$S861=Rankings!$T861</f>
        <v>0</v>
      </c>
      <c r="V861" s="553">
        <f>IF(ISTEXT(Rankings!F861), "TBD", (RANK($F861,$F859:$F865) + IF(ISTEXT($H861), 0, (RANK($H861,$H859:$H865)/10)) + (RANK($G861,$G859:$G865)/100)))</f>
        <v>2.13</v>
      </c>
      <c r="W861" s="153"/>
    </row>
    <row r="862" ht="15.75" customHeight="1">
      <c r="A862" s="134"/>
      <c r="B862" s="134"/>
      <c r="C862" s="134"/>
      <c r="D862" s="557">
        <f>D859</f>
        <v>46197</v>
      </c>
      <c r="E862" s="470" t="str">
        <f>$N$1</f>
        <v>Rosey</v>
      </c>
      <c r="F862" s="411" t="str">
        <f>IFERROR(AVERAGE(Rankings!$K862:$R862), "TBD")</f>
        <v>TBD</v>
      </c>
      <c r="G862" s="411" t="str">
        <f>IFERROR(_xlfn.STDEV.P(Rankings!$K862:$R862), "TBD")</f>
        <v>TBD</v>
      </c>
      <c r="H862" s="411" t="str">
        <f>IFERROR(AVERAGE(Rankings!$K862:$M862, Rankings!$O862:$R862), "TBD")</f>
        <v>TBD</v>
      </c>
      <c r="I862" s="568"/>
      <c r="J862" s="568"/>
      <c r="K862" s="565"/>
      <c r="L862" s="566"/>
      <c r="M862" s="431" t="s">
        <v>1976</v>
      </c>
      <c r="N862" s="555"/>
      <c r="O862" s="431" t="s">
        <v>1697</v>
      </c>
      <c r="P862" s="431" t="s">
        <v>1698</v>
      </c>
      <c r="Q862" s="464" t="s">
        <v>1766</v>
      </c>
      <c r="R862" s="465"/>
      <c r="S862" s="466" t="str">
        <f>IF(ISTEXT($V862), "TBD", RANK(V862,$V859:$V865))</f>
        <v>TBD</v>
      </c>
      <c r="T862" s="467">
        <v>1.0</v>
      </c>
      <c r="U862" s="468" t="b">
        <f>Rankings!$S862=Rankings!$T862</f>
        <v>0</v>
      </c>
      <c r="V862" s="553" t="str">
        <f>IF(ISTEXT(Rankings!F862), "TBD", (RANK($F862,$F859:$F865) + IF(ISTEXT($H862), 0, (RANK($H862,$H859:$H865)/10)) + (RANK($G862,$G859:$G865)/100)))</f>
        <v>TBD</v>
      </c>
      <c r="W862" s="153"/>
    </row>
    <row r="863" ht="15.75" customHeight="1">
      <c r="A863" s="134"/>
      <c r="B863" s="134"/>
      <c r="C863" s="134"/>
      <c r="D863" s="561">
        <f t="shared" ref="D863:D865" si="125">D859</f>
        <v>46197</v>
      </c>
      <c r="E863" s="471" t="str">
        <f>$O$1</f>
        <v>TTAC</v>
      </c>
      <c r="F863" s="414">
        <f>IFERROR(AVERAGE(Rankings!$K863:$R863), "TBD")</f>
        <v>4</v>
      </c>
      <c r="G863" s="414">
        <f>IFERROR(_xlfn.STDEV.P(Rankings!$K863:$R863), "TBD")</f>
        <v>1.527525232</v>
      </c>
      <c r="H863" s="414">
        <f>IFERROR(AVERAGE(Rankings!$K863:$N863, Rankings!$P863:$R863), "TBD")</f>
        <v>4.4</v>
      </c>
      <c r="I863" s="439" t="s">
        <v>1977</v>
      </c>
      <c r="J863" s="439" t="s">
        <v>1978</v>
      </c>
      <c r="K863" s="430">
        <v>5.0</v>
      </c>
      <c r="L863" s="431">
        <v>6.0</v>
      </c>
      <c r="M863" s="431">
        <v>2.0</v>
      </c>
      <c r="N863" s="555"/>
      <c r="O863" s="431">
        <v>2.0</v>
      </c>
      <c r="P863" s="431">
        <v>4.0</v>
      </c>
      <c r="Q863" s="464">
        <v>5.0</v>
      </c>
      <c r="R863" s="465"/>
      <c r="S863" s="466">
        <f>IF(ISTEXT($V863), "TBD", RANK(V863,$V859:$V865))</f>
        <v>6</v>
      </c>
      <c r="T863" s="467">
        <v>1.0</v>
      </c>
      <c r="U863" s="468" t="b">
        <f>Rankings!$S863=Rankings!$T863</f>
        <v>0</v>
      </c>
      <c r="V863" s="553">
        <f>IF(ISTEXT(Rankings!F863), "TBD", (RANK($F863,$F859:$F865) + IF(ISTEXT($H863), 0, (RANK($H863,$H859:$H865)/10)) + (RANK($G863,$G859:$G865)/100)))</f>
        <v>1.14</v>
      </c>
      <c r="W863" s="153"/>
    </row>
    <row r="864" ht="15.75" customHeight="1">
      <c r="A864" s="134"/>
      <c r="B864" s="134"/>
      <c r="C864" s="134"/>
      <c r="D864" s="562">
        <f t="shared" si="125"/>
        <v>46197</v>
      </c>
      <c r="E864" s="472" t="str">
        <f>$P$1</f>
        <v>Weston</v>
      </c>
      <c r="F864" s="418">
        <f>IFERROR(AVERAGE(Rankings!$K864:$R864), "TBD")</f>
        <v>3.5</v>
      </c>
      <c r="G864" s="418">
        <f>IFERROR(_xlfn.STDEV.P(Rankings!$K864:$R864), "TBD")</f>
        <v>1.5</v>
      </c>
      <c r="H864" s="418">
        <f>IFERROR(AVERAGE(Rankings!$K864:$O864, Rankings!$Q864:$R864), "TBD")</f>
        <v>3.6</v>
      </c>
      <c r="I864" s="440" t="s">
        <v>1642</v>
      </c>
      <c r="J864" s="440" t="s">
        <v>1979</v>
      </c>
      <c r="K864" s="430">
        <v>2.0</v>
      </c>
      <c r="L864" s="431">
        <v>2.0</v>
      </c>
      <c r="M864" s="431">
        <v>3.0</v>
      </c>
      <c r="N864" s="555"/>
      <c r="O864" s="431">
        <v>5.0</v>
      </c>
      <c r="P864" s="431">
        <v>3.0</v>
      </c>
      <c r="Q864" s="464">
        <v>6.0</v>
      </c>
      <c r="R864" s="465"/>
      <c r="S864" s="466">
        <f>IF(ISTEXT($V864), "TBD", RANK(V864,$V859:$V865))</f>
        <v>3</v>
      </c>
      <c r="T864" s="467">
        <v>1.0</v>
      </c>
      <c r="U864" s="468" t="b">
        <f>Rankings!$S864=Rankings!$T864</f>
        <v>0</v>
      </c>
      <c r="V864" s="553">
        <f>IF(ISTEXT(Rankings!F864), "TBD", (RANK($F864,$F859:$F865) + IF(ISTEXT($H864), 0, (RANK($H864,$H859:$H865)/10)) + (RANK($G864,$G859:$G865)/100)))</f>
        <v>4.35</v>
      </c>
      <c r="W864" s="153"/>
    </row>
    <row r="865" ht="15.75" customHeight="1">
      <c r="A865" s="189"/>
      <c r="B865" s="189"/>
      <c r="C865" s="189"/>
      <c r="D865" s="563">
        <f t="shared" si="125"/>
        <v>46197</v>
      </c>
      <c r="E865" s="131" t="str">
        <f>$Q$1</f>
        <v>Flocco</v>
      </c>
      <c r="F865" s="474">
        <f>IFERROR(AVERAGE(Rankings!$K865:$R865), "TBD")</f>
        <v>3.166666667</v>
      </c>
      <c r="G865" s="474">
        <f>IFERROR(_xlfn.STDEV.P(Rankings!$K865:$R865), "TBD")</f>
        <v>1.213351648</v>
      </c>
      <c r="H865" s="474">
        <f>IFERROR(AVERAGE(Rankings!$K865:$P865, Rankings!$R865), "TBD")</f>
        <v>3.2</v>
      </c>
      <c r="I865" s="475" t="s">
        <v>1980</v>
      </c>
      <c r="J865" s="475" t="s">
        <v>1981</v>
      </c>
      <c r="K865" s="430">
        <v>3.0</v>
      </c>
      <c r="L865" s="431">
        <v>5.0</v>
      </c>
      <c r="M865" s="431">
        <v>4.0</v>
      </c>
      <c r="N865" s="555"/>
      <c r="O865" s="431">
        <v>3.0</v>
      </c>
      <c r="P865" s="431">
        <v>1.0</v>
      </c>
      <c r="Q865" s="464">
        <v>3.0</v>
      </c>
      <c r="R865" s="465"/>
      <c r="S865" s="466">
        <f>IF(ISTEXT($V865), "TBD", RANK(V865,$V859:$V865))</f>
        <v>2</v>
      </c>
      <c r="T865" s="467">
        <v>1.0</v>
      </c>
      <c r="U865" s="468" t="b">
        <f>Rankings!$S865=Rankings!$T865</f>
        <v>0</v>
      </c>
      <c r="V865" s="553">
        <f>IF(ISTEXT(Rankings!F865), "TBD", (RANK($F865,$F859:$F865) + IF(ISTEXT($H865), 0, (RANK($H865,$H859:$H865)/10)) + (RANK($G865,$G859:$G865)/100)))</f>
        <v>5.56</v>
      </c>
      <c r="W865" s="208"/>
    </row>
    <row r="866" ht="15.75" customHeight="1">
      <c r="A866" s="103">
        <v>46199.0</v>
      </c>
      <c r="B866" s="453"/>
      <c r="C866" s="454" t="str">
        <f t="array" ref="C866">INDEX(Rankings!$E866:$E872, MATCH(1, (Rankings!$D866:$D872=$A866)*(Rankings!$U866:$U872=TRUE()), 0))</f>
        <v>Weston</v>
      </c>
      <c r="D866" s="551">
        <f>A866</f>
        <v>46199</v>
      </c>
      <c r="E866" s="455" t="str">
        <f>$K$1</f>
        <v>Logan</v>
      </c>
      <c r="F866" s="400">
        <f>IFERROR(AVERAGE(Rankings!$K866:$R866), "TBD")</f>
        <v>4.333333333</v>
      </c>
      <c r="G866" s="400">
        <f>IFERROR(_xlfn.STDEV.P(Rankings!$K866:$R866), "TBD")</f>
        <v>2.357022604</v>
      </c>
      <c r="H866" s="400">
        <f>IFERROR(AVERAGE(Rankings!$L866:$R866), "TBD")</f>
        <v>5</v>
      </c>
      <c r="I866" s="421" t="s">
        <v>1982</v>
      </c>
      <c r="J866" s="421" t="s">
        <v>1983</v>
      </c>
      <c r="K866" s="422">
        <v>1.0</v>
      </c>
      <c r="L866" s="423">
        <v>6.0</v>
      </c>
      <c r="M866" s="423">
        <v>1.0</v>
      </c>
      <c r="N866" s="555"/>
      <c r="O866" s="423">
        <v>6.0</v>
      </c>
      <c r="P866" s="423">
        <v>6.0</v>
      </c>
      <c r="Q866" s="456">
        <v>6.0</v>
      </c>
      <c r="R866" s="457"/>
      <c r="S866" s="458">
        <f>IF(ISTEXT($V866), "TBD", RANK(V866,$V866:$V872))</f>
        <v>5</v>
      </c>
      <c r="T866" s="459">
        <v>1.0</v>
      </c>
      <c r="U866" s="460" t="b">
        <f>Rankings!$S866=Rankings!$T866</f>
        <v>0</v>
      </c>
      <c r="V866" s="553">
        <f>IF(ISTEXT(Rankings!F866), "TBD", (RANK($F866,$F866:$F872) + IF(ISTEXT($H866), 0, (RANK($H866,$H866:$H872)/10)) + (RANK($G866,$G866:$G872)/100)))</f>
        <v>2.11</v>
      </c>
      <c r="W866" s="329" t="s">
        <v>1984</v>
      </c>
    </row>
    <row r="867" ht="15.75" customHeight="1">
      <c r="A867" s="134"/>
      <c r="B867" s="134"/>
      <c r="C867" s="134"/>
      <c r="D867" s="554">
        <f>D866</f>
        <v>46199</v>
      </c>
      <c r="E867" s="463" t="str">
        <f>$L$1</f>
        <v>Parker</v>
      </c>
      <c r="F867" s="404">
        <f>IFERROR(AVERAGE(Rankings!$K867:$R867), "TBD")</f>
        <v>3.166666667</v>
      </c>
      <c r="G867" s="404">
        <f>IFERROR(_xlfn.STDEV.P(Rankings!$K867:$R867), "TBD")</f>
        <v>1.343709625</v>
      </c>
      <c r="H867" s="404">
        <f>IFERROR(AVERAGE(Rankings!$K867, Rankings!$M867:$R867), "TBD")</f>
        <v>3.6</v>
      </c>
      <c r="I867" s="429" t="s">
        <v>1985</v>
      </c>
      <c r="J867" s="429" t="s">
        <v>1986</v>
      </c>
      <c r="K867" s="430">
        <v>2.0</v>
      </c>
      <c r="L867" s="431">
        <v>1.0</v>
      </c>
      <c r="M867" s="431">
        <v>5.0</v>
      </c>
      <c r="N867" s="555"/>
      <c r="O867" s="431">
        <v>3.0</v>
      </c>
      <c r="P867" s="431">
        <v>4.0</v>
      </c>
      <c r="Q867" s="464">
        <v>4.0</v>
      </c>
      <c r="R867" s="465"/>
      <c r="S867" s="466">
        <f>IF(ISTEXT($V867), "TBD", RANK(V867,$V866:$V872))</f>
        <v>3</v>
      </c>
      <c r="T867" s="467">
        <v>1.0</v>
      </c>
      <c r="U867" s="468" t="b">
        <f>Rankings!$S867=Rankings!$T867</f>
        <v>0</v>
      </c>
      <c r="V867" s="553">
        <f>IF(ISTEXT(Rankings!F867), "TBD", (RANK($F867,$F866:$F872) + IF(ISTEXT($H867), 0, (RANK($H867,$H866:$H872)/10)) + (RANK($G867,$G866:$G872)/100)))</f>
        <v>4.43</v>
      </c>
      <c r="W867" s="153"/>
    </row>
    <row r="868" ht="15.75" customHeight="1">
      <c r="A868" s="134"/>
      <c r="B868" s="134"/>
      <c r="C868" s="134"/>
      <c r="D868" s="556">
        <f>D866</f>
        <v>46199</v>
      </c>
      <c r="E868" s="469" t="str">
        <f>$M$1</f>
        <v>Giacomo</v>
      </c>
      <c r="F868" s="408">
        <f>IFERROR(AVERAGE(Rankings!$K868:$R868), "TBD")</f>
        <v>3.5</v>
      </c>
      <c r="G868" s="408">
        <f>IFERROR(_xlfn.STDEV.P(Rankings!$K868:$R868), "TBD")</f>
        <v>1.258305739</v>
      </c>
      <c r="H868" s="408">
        <f>IFERROR(AVERAGE(Rankings!$K868:$L868, Rankings!$N868:$R868), "TBD")</f>
        <v>3.8</v>
      </c>
      <c r="I868" s="437" t="s">
        <v>1987</v>
      </c>
      <c r="J868" s="437" t="s">
        <v>1988</v>
      </c>
      <c r="K868" s="430">
        <v>5.0</v>
      </c>
      <c r="L868" s="431">
        <v>3.0</v>
      </c>
      <c r="M868" s="431">
        <v>2.0</v>
      </c>
      <c r="N868" s="555"/>
      <c r="O868" s="431">
        <v>4.0</v>
      </c>
      <c r="P868" s="431">
        <v>2.0</v>
      </c>
      <c r="Q868" s="464">
        <v>5.0</v>
      </c>
      <c r="R868" s="465"/>
      <c r="S868" s="466">
        <f>IF(ISTEXT($V868), "TBD", RANK(V868,$V866:$V872))</f>
        <v>4</v>
      </c>
      <c r="T868" s="467">
        <v>1.0</v>
      </c>
      <c r="U868" s="468" t="b">
        <f>Rankings!$S868=Rankings!$T868</f>
        <v>0</v>
      </c>
      <c r="V868" s="553">
        <f>IF(ISTEXT(Rankings!F868), "TBD", (RANK($F868,$F866:$F872) + IF(ISTEXT($H868), 0, (RANK($H868,$H866:$H872)/10)) + (RANK($G868,$G866:$G872)/100)))</f>
        <v>3.35</v>
      </c>
      <c r="W868" s="153"/>
    </row>
    <row r="869" ht="15.75" customHeight="1">
      <c r="A869" s="134"/>
      <c r="B869" s="134"/>
      <c r="C869" s="134"/>
      <c r="D869" s="557">
        <f>D866</f>
        <v>46199</v>
      </c>
      <c r="E869" s="470" t="str">
        <f>$N$1</f>
        <v>Rosey</v>
      </c>
      <c r="F869" s="411" t="str">
        <f>IFERROR(AVERAGE(Rankings!$K869:$R869), "TBD")</f>
        <v>TBD</v>
      </c>
      <c r="G869" s="411" t="str">
        <f>IFERROR(_xlfn.STDEV.P(Rankings!$K869:$R869), "TBD")</f>
        <v>TBD</v>
      </c>
      <c r="H869" s="411" t="str">
        <f>IFERROR(AVERAGE(Rankings!$K869:$M869, Rankings!$O869:$R869), "TBD")</f>
        <v>TBD</v>
      </c>
      <c r="I869" s="568"/>
      <c r="J869" s="568"/>
      <c r="K869" s="565"/>
      <c r="L869" s="566"/>
      <c r="M869" s="431" t="s">
        <v>1989</v>
      </c>
      <c r="N869" s="555"/>
      <c r="O869" s="431" t="s">
        <v>1697</v>
      </c>
      <c r="P869" s="431" t="s">
        <v>1698</v>
      </c>
      <c r="Q869" s="464" t="s">
        <v>1766</v>
      </c>
      <c r="R869" s="465"/>
      <c r="S869" s="466" t="str">
        <f>IF(ISTEXT($V869), "TBD", RANK(V869,$V866:$V872))</f>
        <v>TBD</v>
      </c>
      <c r="T869" s="467">
        <v>1.0</v>
      </c>
      <c r="U869" s="468" t="b">
        <f>Rankings!$S869=Rankings!$T869</f>
        <v>0</v>
      </c>
      <c r="V869" s="553" t="str">
        <f>IF(ISTEXT(Rankings!F869), "TBD", (RANK($F869,$F866:$F872) + IF(ISTEXT($H869), 0, (RANK($H869,$H866:$H872)/10)) + (RANK($G869,$G866:$G872)/100)))</f>
        <v>TBD</v>
      </c>
      <c r="W869" s="153"/>
    </row>
    <row r="870" ht="15.75" customHeight="1">
      <c r="A870" s="134"/>
      <c r="B870" s="134"/>
      <c r="C870" s="134"/>
      <c r="D870" s="561">
        <f t="shared" ref="D870:D872" si="126">D866</f>
        <v>46199</v>
      </c>
      <c r="E870" s="471" t="str">
        <f>$O$1</f>
        <v>TTAC</v>
      </c>
      <c r="F870" s="414">
        <f>IFERROR(AVERAGE(Rankings!$K870:$R870), "TBD")</f>
        <v>4.5</v>
      </c>
      <c r="G870" s="414">
        <f>IFERROR(_xlfn.STDEV.P(Rankings!$K870:$R870), "TBD")</f>
        <v>1.5</v>
      </c>
      <c r="H870" s="414">
        <f>IFERROR(AVERAGE(Rankings!$K870:$N870, Rankings!$P870:$R870), "TBD")</f>
        <v>5</v>
      </c>
      <c r="I870" s="439" t="s">
        <v>1990</v>
      </c>
      <c r="J870" s="439" t="s">
        <v>1991</v>
      </c>
      <c r="K870" s="430">
        <v>6.0</v>
      </c>
      <c r="L870" s="431">
        <v>5.0</v>
      </c>
      <c r="M870" s="431">
        <v>6.0</v>
      </c>
      <c r="N870" s="555"/>
      <c r="O870" s="431">
        <v>2.0</v>
      </c>
      <c r="P870" s="431">
        <v>5.0</v>
      </c>
      <c r="Q870" s="464">
        <v>3.0</v>
      </c>
      <c r="R870" s="465"/>
      <c r="S870" s="466">
        <f>IF(ISTEXT($V870), "TBD", RANK(V870,$V866:$V872))</f>
        <v>6</v>
      </c>
      <c r="T870" s="467">
        <v>1.0</v>
      </c>
      <c r="U870" s="468" t="b">
        <f>Rankings!$S870=Rankings!$T870</f>
        <v>0</v>
      </c>
      <c r="V870" s="553">
        <f>IF(ISTEXT(Rankings!F870), "TBD", (RANK($F870,$F866:$F872) + IF(ISTEXT($H870), 0, (RANK($H870,$H866:$H872)/10)) + (RANK($G870,$G866:$G872)/100)))</f>
        <v>1.12</v>
      </c>
      <c r="W870" s="153"/>
    </row>
    <row r="871" ht="15.75" customHeight="1">
      <c r="A871" s="134"/>
      <c r="B871" s="134"/>
      <c r="C871" s="134"/>
      <c r="D871" s="562">
        <f t="shared" si="126"/>
        <v>46199</v>
      </c>
      <c r="E871" s="472" t="str">
        <f>$P$1</f>
        <v>Weston</v>
      </c>
      <c r="F871" s="418">
        <f>IFERROR(AVERAGE(Rankings!$K871:$R871), "TBD")</f>
        <v>2.666666667</v>
      </c>
      <c r="G871" s="418">
        <f>IFERROR(_xlfn.STDEV.P(Rankings!$K871:$R871), "TBD")</f>
        <v>1.247219129</v>
      </c>
      <c r="H871" s="418">
        <f>IFERROR(AVERAGE(Rankings!$K871:$O871, Rankings!$Q871:$R871), "TBD")</f>
        <v>3</v>
      </c>
      <c r="I871" s="440" t="s">
        <v>1992</v>
      </c>
      <c r="J871" s="440" t="s">
        <v>1993</v>
      </c>
      <c r="K871" s="430">
        <v>3.0</v>
      </c>
      <c r="L871" s="431">
        <v>2.0</v>
      </c>
      <c r="M871" s="431">
        <v>3.0</v>
      </c>
      <c r="N871" s="555"/>
      <c r="O871" s="431">
        <v>5.0</v>
      </c>
      <c r="P871" s="431">
        <v>1.0</v>
      </c>
      <c r="Q871" s="464">
        <v>2.0</v>
      </c>
      <c r="R871" s="465"/>
      <c r="S871" s="466">
        <f>IF(ISTEXT($V871), "TBD", RANK(V871,$V866:$V872))</f>
        <v>1</v>
      </c>
      <c r="T871" s="467">
        <v>1.0</v>
      </c>
      <c r="U871" s="468" t="b">
        <f>Rankings!$S871=Rankings!$T871</f>
        <v>1</v>
      </c>
      <c r="V871" s="553">
        <f>IF(ISTEXT(Rankings!F871), "TBD", (RANK($F871,$F866:$F872) + IF(ISTEXT($H871), 0, (RANK($H871,$H866:$H872)/10)) + (RANK($G871,$G866:$G872)/100)))</f>
        <v>6.66</v>
      </c>
      <c r="W871" s="153"/>
    </row>
    <row r="872" ht="15.75" customHeight="1">
      <c r="A872" s="189"/>
      <c r="B872" s="189"/>
      <c r="C872" s="189"/>
      <c r="D872" s="563">
        <f t="shared" si="126"/>
        <v>46199</v>
      </c>
      <c r="E872" s="230" t="str">
        <f>$Q$1</f>
        <v>Flocco</v>
      </c>
      <c r="F872" s="474">
        <f>IFERROR(AVERAGE(Rankings!$K872:$R872), "TBD")</f>
        <v>2.833333333</v>
      </c>
      <c r="G872" s="474">
        <f>IFERROR(_xlfn.STDEV.P(Rankings!$K872:$R872), "TBD")</f>
        <v>1.343709625</v>
      </c>
      <c r="H872" s="474">
        <f>IFERROR(AVERAGE(Rankings!$K872:$P872, Rankings!$R872), "TBD")</f>
        <v>3.2</v>
      </c>
      <c r="I872" s="475" t="s">
        <v>1994</v>
      </c>
      <c r="J872" s="475" t="s">
        <v>1995</v>
      </c>
      <c r="K872" s="430">
        <v>4.0</v>
      </c>
      <c r="L872" s="431">
        <v>4.0</v>
      </c>
      <c r="M872" s="431">
        <v>4.0</v>
      </c>
      <c r="N872" s="555"/>
      <c r="O872" s="431">
        <v>1.0</v>
      </c>
      <c r="P872" s="431">
        <v>3.0</v>
      </c>
      <c r="Q872" s="464">
        <v>1.0</v>
      </c>
      <c r="R872" s="465"/>
      <c r="S872" s="466">
        <f>IF(ISTEXT($V872), "TBD", RANK(V872,$V866:$V872))</f>
        <v>2</v>
      </c>
      <c r="T872" s="467">
        <v>1.0</v>
      </c>
      <c r="U872" s="468" t="b">
        <f>Rankings!$S872=Rankings!$T872</f>
        <v>0</v>
      </c>
      <c r="V872" s="553">
        <f>IF(ISTEXT(Rankings!F872), "TBD", (RANK($F872,$F866:$F872) + IF(ISTEXT($H872), 0, (RANK($H872,$H866:$H872)/10)) + (RANK($G872,$G866:$G872)/100)))</f>
        <v>5.53</v>
      </c>
      <c r="W872" s="208"/>
    </row>
    <row r="873" ht="15.75" customHeight="1">
      <c r="A873" s="103">
        <v>46202.0</v>
      </c>
      <c r="B873" s="453"/>
      <c r="C873" s="454" t="str">
        <f t="array" ref="C873">INDEX(Rankings!$E873:$E879, MATCH(1, (Rankings!$D873:$D879=$A873)*(Rankings!$U873:$U879=TRUE()), 0))</f>
        <v>Flocco</v>
      </c>
      <c r="D873" s="551">
        <f>A873</f>
        <v>46202</v>
      </c>
      <c r="E873" s="455" t="str">
        <f>$K$1</f>
        <v>Logan</v>
      </c>
      <c r="F873" s="400">
        <f>IFERROR(AVERAGE(Rankings!$K873:$R873), "TBD")</f>
        <v>5</v>
      </c>
      <c r="G873" s="400">
        <f>IFERROR(_xlfn.STDEV.P(Rankings!$K873:$R873), "TBD")</f>
        <v>0.5773502692</v>
      </c>
      <c r="H873" s="400">
        <f>IFERROR(AVERAGE(Rankings!$L873:$R873), "TBD")</f>
        <v>5</v>
      </c>
      <c r="I873" s="421" t="s">
        <v>1996</v>
      </c>
      <c r="J873" s="421" t="s">
        <v>1997</v>
      </c>
      <c r="K873" s="422">
        <v>5.0</v>
      </c>
      <c r="L873" s="423">
        <v>5.0</v>
      </c>
      <c r="M873" s="423">
        <v>4.0</v>
      </c>
      <c r="N873" s="555"/>
      <c r="O873" s="423">
        <v>6.0</v>
      </c>
      <c r="P873" s="423">
        <v>5.0</v>
      </c>
      <c r="Q873" s="456">
        <v>5.0</v>
      </c>
      <c r="R873" s="457"/>
      <c r="S873" s="458">
        <f>IF(ISTEXT($V873), "TBD", RANK(V873,$V873:$V879))</f>
        <v>6</v>
      </c>
      <c r="T873" s="459">
        <v>1.0</v>
      </c>
      <c r="U873" s="460" t="b">
        <f>Rankings!$S873=Rankings!$T873</f>
        <v>0</v>
      </c>
      <c r="V873" s="553">
        <f>IF(ISTEXT(Rankings!F873), "TBD", (RANK($F873,$F873:$F879) + IF(ISTEXT($H873), 0, (RANK($H873,$H873:$H879)/10)) + (RANK($G873,$G873:$G879)/100)))</f>
        <v>1.25</v>
      </c>
      <c r="W873" s="329"/>
    </row>
    <row r="874" ht="15.75" customHeight="1">
      <c r="A874" s="134"/>
      <c r="B874" s="134"/>
      <c r="C874" s="134"/>
      <c r="D874" s="554">
        <f>D873</f>
        <v>46202</v>
      </c>
      <c r="E874" s="463" t="str">
        <f>$L$1</f>
        <v>Parker</v>
      </c>
      <c r="F874" s="404">
        <f>IFERROR(AVERAGE(Rankings!$K874:$R874), "TBD")</f>
        <v>3.666666667</v>
      </c>
      <c r="G874" s="404">
        <f>IFERROR(_xlfn.STDEV.P(Rankings!$K874:$R874), "TBD")</f>
        <v>0.7453559925</v>
      </c>
      <c r="H874" s="404">
        <f>IFERROR(AVERAGE(Rankings!$K874, Rankings!$M874:$R874), "TBD")</f>
        <v>3.8</v>
      </c>
      <c r="I874" s="429" t="s">
        <v>1998</v>
      </c>
      <c r="J874" s="429" t="s">
        <v>1999</v>
      </c>
      <c r="K874" s="430">
        <v>3.0</v>
      </c>
      <c r="L874" s="431">
        <v>3.0</v>
      </c>
      <c r="M874" s="431">
        <v>5.0</v>
      </c>
      <c r="N874" s="555"/>
      <c r="O874" s="431">
        <v>3.0</v>
      </c>
      <c r="P874" s="431">
        <v>4.0</v>
      </c>
      <c r="Q874" s="464">
        <v>4.0</v>
      </c>
      <c r="R874" s="465"/>
      <c r="S874" s="466">
        <f>IF(ISTEXT($V874), "TBD", RANK(V874,$V873:$V879))</f>
        <v>4</v>
      </c>
      <c r="T874" s="467">
        <v>1.0</v>
      </c>
      <c r="U874" s="468" t="b">
        <f>Rankings!$S874=Rankings!$T874</f>
        <v>0</v>
      </c>
      <c r="V874" s="553">
        <f>IF(ISTEXT(Rankings!F874), "TBD", (RANK($F874,$F873:$F879) + IF(ISTEXT($H874), 0, (RANK($H874,$H873:$H879)/10)) + (RANK($G874,$G873:$G879)/100)))</f>
        <v>3.34</v>
      </c>
      <c r="W874" s="153"/>
    </row>
    <row r="875" ht="15.75" customHeight="1">
      <c r="A875" s="134"/>
      <c r="B875" s="134"/>
      <c r="C875" s="134"/>
      <c r="D875" s="556">
        <f>D873</f>
        <v>46202</v>
      </c>
      <c r="E875" s="469" t="str">
        <f>$M$1</f>
        <v>Giacomo</v>
      </c>
      <c r="F875" s="408">
        <f>IFERROR(AVERAGE(Rankings!$K875:$R875), "TBD")</f>
        <v>3.166666667</v>
      </c>
      <c r="G875" s="408">
        <f>IFERROR(_xlfn.STDEV.P(Rankings!$K875:$R875), "TBD")</f>
        <v>1.771690969</v>
      </c>
      <c r="H875" s="408">
        <f>IFERROR(AVERAGE(Rankings!$K875:$L875, Rankings!$N875:$R875), "TBD")</f>
        <v>3.6</v>
      </c>
      <c r="I875" s="437" t="s">
        <v>2000</v>
      </c>
      <c r="J875" s="437" t="s">
        <v>2001</v>
      </c>
      <c r="K875" s="430">
        <v>1.0</v>
      </c>
      <c r="L875" s="431">
        <v>4.0</v>
      </c>
      <c r="M875" s="431">
        <v>1.0</v>
      </c>
      <c r="N875" s="555"/>
      <c r="O875" s="431">
        <v>4.0</v>
      </c>
      <c r="P875" s="431">
        <v>3.0</v>
      </c>
      <c r="Q875" s="464">
        <v>6.0</v>
      </c>
      <c r="R875" s="465"/>
      <c r="S875" s="466">
        <f>IF(ISTEXT($V875), "TBD", RANK(V875,$V873:$V879))</f>
        <v>3</v>
      </c>
      <c r="T875" s="467">
        <v>1.0</v>
      </c>
      <c r="U875" s="468" t="b">
        <f>Rankings!$S875=Rankings!$T875</f>
        <v>0</v>
      </c>
      <c r="V875" s="553">
        <f>IF(ISTEXT(Rankings!F875), "TBD", (RANK($F875,$F873:$F879) + IF(ISTEXT($H875), 0, (RANK($H875,$H873:$H879)/10)) + (RANK($G875,$G873:$G879)/100)))</f>
        <v>4.42</v>
      </c>
      <c r="W875" s="153"/>
    </row>
    <row r="876" ht="15.75" customHeight="1">
      <c r="A876" s="134"/>
      <c r="B876" s="134"/>
      <c r="C876" s="134"/>
      <c r="D876" s="557">
        <f>D873</f>
        <v>46202</v>
      </c>
      <c r="E876" s="470" t="str">
        <f>$N$1</f>
        <v>Rosey</v>
      </c>
      <c r="F876" s="411" t="str">
        <f>IFERROR(AVERAGE(Rankings!$K876:$R876), "TBD")</f>
        <v>TBD</v>
      </c>
      <c r="G876" s="411" t="str">
        <f>IFERROR(_xlfn.STDEV.P(Rankings!$K876:$R876), "TBD")</f>
        <v>TBD</v>
      </c>
      <c r="H876" s="411" t="str">
        <f>IFERROR(AVERAGE(Rankings!$K876:$M876, Rankings!$O876:$R876), "TBD")</f>
        <v>TBD</v>
      </c>
      <c r="I876" s="568"/>
      <c r="J876" s="568"/>
      <c r="K876" s="565"/>
      <c r="L876" s="566"/>
      <c r="M876" s="431" t="s">
        <v>2002</v>
      </c>
      <c r="N876" s="555"/>
      <c r="O876" s="431" t="s">
        <v>1697</v>
      </c>
      <c r="P876" s="431" t="s">
        <v>1698</v>
      </c>
      <c r="Q876" s="464" t="s">
        <v>1766</v>
      </c>
      <c r="R876" s="465"/>
      <c r="S876" s="466" t="str">
        <f>IF(ISTEXT($V876), "TBD", RANK(V876,$V873:$V879))</f>
        <v>TBD</v>
      </c>
      <c r="T876" s="467">
        <v>1.0</v>
      </c>
      <c r="U876" s="468" t="b">
        <f>Rankings!$S876=Rankings!$T876</f>
        <v>0</v>
      </c>
      <c r="V876" s="553" t="str">
        <f>IF(ISTEXT(Rankings!F876), "TBD", (RANK($F876,$F873:$F879) + IF(ISTEXT($H876), 0, (RANK($H876,$H873:$H879)/10)) + (RANK($G876,$G873:$G879)/100)))</f>
        <v>TBD</v>
      </c>
      <c r="W876" s="153"/>
    </row>
    <row r="877" ht="15.75" customHeight="1">
      <c r="A877" s="134"/>
      <c r="B877" s="134"/>
      <c r="C877" s="134"/>
      <c r="D877" s="561">
        <f t="shared" ref="D877:D879" si="127">D873</f>
        <v>46202</v>
      </c>
      <c r="E877" s="471" t="str">
        <f>$O$1</f>
        <v>TTAC</v>
      </c>
      <c r="F877" s="414">
        <f>IFERROR(AVERAGE(Rankings!$K877:$R877), "TBD")</f>
        <v>4.5</v>
      </c>
      <c r="G877" s="414">
        <f>IFERROR(_xlfn.STDEV.P(Rankings!$K877:$R877), "TBD")</f>
        <v>2.140872096</v>
      </c>
      <c r="H877" s="414">
        <f>IFERROR(AVERAGE(Rankings!$K877:$N877, Rankings!$P877:$R877), "TBD")</f>
        <v>5.2</v>
      </c>
      <c r="I877" s="439" t="s">
        <v>2003</v>
      </c>
      <c r="J877" s="439" t="s">
        <v>2004</v>
      </c>
      <c r="K877" s="430">
        <v>6.0</v>
      </c>
      <c r="L877" s="431">
        <v>6.0</v>
      </c>
      <c r="M877" s="431">
        <v>6.0</v>
      </c>
      <c r="N877" s="555"/>
      <c r="O877" s="431">
        <v>1.0</v>
      </c>
      <c r="P877" s="431">
        <v>6.0</v>
      </c>
      <c r="Q877" s="464">
        <v>2.0</v>
      </c>
      <c r="R877" s="465"/>
      <c r="S877" s="466">
        <f>IF(ISTEXT($V877), "TBD", RANK(V877,$V873:$V879))</f>
        <v>5</v>
      </c>
      <c r="T877" s="467">
        <v>1.0</v>
      </c>
      <c r="U877" s="468" t="b">
        <f>Rankings!$S877=Rankings!$T877</f>
        <v>0</v>
      </c>
      <c r="V877" s="553">
        <f>IF(ISTEXT(Rankings!F877), "TBD", (RANK($F877,$F873:$F879) + IF(ISTEXT($H877), 0, (RANK($H877,$H873:$H879)/10)) + (RANK($G877,$G873:$G879)/100)))</f>
        <v>2.11</v>
      </c>
      <c r="W877" s="153"/>
    </row>
    <row r="878" ht="15.75" customHeight="1">
      <c r="A878" s="134"/>
      <c r="B878" s="134"/>
      <c r="C878" s="134"/>
      <c r="D878" s="562">
        <f t="shared" si="127"/>
        <v>46202</v>
      </c>
      <c r="E878" s="472" t="str">
        <f>$P$1</f>
        <v>Weston</v>
      </c>
      <c r="F878" s="418">
        <f>IFERROR(AVERAGE(Rankings!$K878:$R878), "TBD")</f>
        <v>3.166666667</v>
      </c>
      <c r="G878" s="418">
        <f>IFERROR(_xlfn.STDEV.P(Rankings!$K878:$R878), "TBD")</f>
        <v>1.067187373</v>
      </c>
      <c r="H878" s="418">
        <f>IFERROR(AVERAGE(Rankings!$K878:$O878, Rankings!$Q878:$R878), "TBD")</f>
        <v>3.4</v>
      </c>
      <c r="I878" s="440" t="s">
        <v>2005</v>
      </c>
      <c r="J878" s="440" t="s">
        <v>2006</v>
      </c>
      <c r="K878" s="430">
        <v>4.0</v>
      </c>
      <c r="L878" s="431">
        <v>2.0</v>
      </c>
      <c r="M878" s="431">
        <v>3.0</v>
      </c>
      <c r="N878" s="555"/>
      <c r="O878" s="431">
        <v>5.0</v>
      </c>
      <c r="P878" s="431">
        <v>2.0</v>
      </c>
      <c r="Q878" s="464">
        <v>3.0</v>
      </c>
      <c r="R878" s="465"/>
      <c r="S878" s="466">
        <f>IF(ISTEXT($V878), "TBD", RANK(V878,$V873:$V879))</f>
        <v>2</v>
      </c>
      <c r="T878" s="467">
        <v>1.0</v>
      </c>
      <c r="U878" s="468" t="b">
        <f>Rankings!$S878=Rankings!$T878</f>
        <v>0</v>
      </c>
      <c r="V878" s="553">
        <f>IF(ISTEXT(Rankings!F878), "TBD", (RANK($F878,$F873:$F879) + IF(ISTEXT($H878), 0, (RANK($H878,$H873:$H879)/10)) + (RANK($G878,$G873:$G879)/100)))</f>
        <v>4.53</v>
      </c>
      <c r="W878" s="153"/>
    </row>
    <row r="879" ht="15.75" customHeight="1">
      <c r="A879" s="189"/>
      <c r="B879" s="189"/>
      <c r="C879" s="189"/>
      <c r="D879" s="563">
        <f t="shared" si="127"/>
        <v>46202</v>
      </c>
      <c r="E879" s="230" t="str">
        <f>$Q$1</f>
        <v>Flocco</v>
      </c>
      <c r="F879" s="474">
        <f>IFERROR(AVERAGE(Rankings!$K879:$R879), "TBD")</f>
        <v>1.5</v>
      </c>
      <c r="G879" s="474">
        <f>IFERROR(_xlfn.STDEV.P(Rankings!$K879:$R879), "TBD")</f>
        <v>0.5</v>
      </c>
      <c r="H879" s="474">
        <f>IFERROR(AVERAGE(Rankings!$K879:$P879, Rankings!$R879), "TBD")</f>
        <v>1.6</v>
      </c>
      <c r="I879" s="475" t="s">
        <v>2007</v>
      </c>
      <c r="J879" s="475" t="s">
        <v>1402</v>
      </c>
      <c r="K879" s="430">
        <v>2.0</v>
      </c>
      <c r="L879" s="431">
        <v>1.0</v>
      </c>
      <c r="M879" s="431">
        <v>2.0</v>
      </c>
      <c r="N879" s="555"/>
      <c r="O879" s="431">
        <v>2.0</v>
      </c>
      <c r="P879" s="431">
        <v>1.0</v>
      </c>
      <c r="Q879" s="464">
        <v>1.0</v>
      </c>
      <c r="R879" s="465"/>
      <c r="S879" s="466">
        <f>IF(ISTEXT($V879), "TBD", RANK(V879,$V873:$V879))</f>
        <v>1</v>
      </c>
      <c r="T879" s="467">
        <v>1.0</v>
      </c>
      <c r="U879" s="468" t="b">
        <f>Rankings!$S879=Rankings!$T879</f>
        <v>1</v>
      </c>
      <c r="V879" s="553">
        <f>IF(ISTEXT(Rankings!F879), "TBD", (RANK($F879,$F873:$F879) + IF(ISTEXT($H879), 0, (RANK($H879,$H873:$H879)/10)) + (RANK($G879,$G873:$G879)/100)))</f>
        <v>6.66</v>
      </c>
      <c r="W879" s="208"/>
    </row>
    <row r="880" ht="15.75" customHeight="1">
      <c r="A880" s="103">
        <v>46204.0</v>
      </c>
      <c r="B880" s="453"/>
      <c r="C880" s="454" t="str">
        <f t="array" ref="C880">INDEX(Rankings!$E880:$E886, MATCH(1, (Rankings!$D880:$D886=$A880)*(Rankings!$U880:$U886=TRUE()), 0))</f>
        <v>Logan</v>
      </c>
      <c r="D880" s="551">
        <f>A880</f>
        <v>46204</v>
      </c>
      <c r="E880" s="455" t="str">
        <f>$K$1</f>
        <v>Logan</v>
      </c>
      <c r="F880" s="400">
        <f>IFERROR(AVERAGE(Rankings!$K880:$R880), "TBD")</f>
        <v>2.5</v>
      </c>
      <c r="G880" s="400">
        <f>IFERROR(_xlfn.STDEV.P(Rankings!$K880:$R880), "TBD")</f>
        <v>1.38443731</v>
      </c>
      <c r="H880" s="400">
        <f>IFERROR(AVERAGE(Rankings!$L880:$R880), "TBD")</f>
        <v>2.8</v>
      </c>
      <c r="I880" s="421" t="s">
        <v>2008</v>
      </c>
      <c r="J880" s="421" t="s">
        <v>2009</v>
      </c>
      <c r="K880" s="422">
        <v>1.0</v>
      </c>
      <c r="L880" s="423">
        <v>3.0</v>
      </c>
      <c r="M880" s="423">
        <v>1.0</v>
      </c>
      <c r="N880" s="555"/>
      <c r="O880" s="423">
        <v>5.0</v>
      </c>
      <c r="P880" s="423">
        <v>2.0</v>
      </c>
      <c r="Q880" s="456">
        <v>3.0</v>
      </c>
      <c r="R880" s="457"/>
      <c r="S880" s="458">
        <f>IF(ISTEXT($V880), "TBD", RANK(V880,$V880:$V886))</f>
        <v>1</v>
      </c>
      <c r="T880" s="459">
        <v>1.0</v>
      </c>
      <c r="U880" s="460" t="b">
        <f>Rankings!$S880=Rankings!$T880</f>
        <v>1</v>
      </c>
      <c r="V880" s="553">
        <f>IF(ISTEXT(Rankings!F880), "TBD", (RANK($F880,$F880:$F886) + IF(ISTEXT($H880), 0, (RANK($H880,$H880:$H886)/10)) + (RANK($G880,$G880:$G886)/100)))</f>
        <v>6.65</v>
      </c>
      <c r="W880" s="329"/>
    </row>
    <row r="881" ht="15.75" customHeight="1">
      <c r="A881" s="134"/>
      <c r="B881" s="134"/>
      <c r="C881" s="134"/>
      <c r="D881" s="554">
        <f>D880</f>
        <v>46204</v>
      </c>
      <c r="E881" s="463" t="str">
        <f>$L$1</f>
        <v>Parker</v>
      </c>
      <c r="F881" s="404">
        <f>IFERROR(AVERAGE(Rankings!$K881:$R881), "TBD")</f>
        <v>3.5</v>
      </c>
      <c r="G881" s="404">
        <f>IFERROR(_xlfn.STDEV.P(Rankings!$K881:$R881), "TBD")</f>
        <v>1.707825128</v>
      </c>
      <c r="H881" s="404">
        <f>IFERROR(AVERAGE(Rankings!$K881, Rankings!$M881:$R881), "TBD")</f>
        <v>3.8</v>
      </c>
      <c r="I881" s="429" t="s">
        <v>2010</v>
      </c>
      <c r="J881" s="429" t="s">
        <v>1255</v>
      </c>
      <c r="K881" s="430">
        <v>3.0</v>
      </c>
      <c r="L881" s="431">
        <v>2.0</v>
      </c>
      <c r="M881" s="431">
        <v>4.0</v>
      </c>
      <c r="N881" s="555"/>
      <c r="O881" s="431">
        <v>1.0</v>
      </c>
      <c r="P881" s="431">
        <v>6.0</v>
      </c>
      <c r="Q881" s="464">
        <v>5.0</v>
      </c>
      <c r="R881" s="465"/>
      <c r="S881" s="466">
        <f>IF(ISTEXT($V881), "TBD", RANK(V881,$V880:$V886))</f>
        <v>3</v>
      </c>
      <c r="T881" s="467">
        <v>1.0</v>
      </c>
      <c r="U881" s="468" t="b">
        <f>Rankings!$S881=Rankings!$T881</f>
        <v>0</v>
      </c>
      <c r="V881" s="553">
        <f>IF(ISTEXT(Rankings!F881), "TBD", (RANK($F881,$F880:$F886) + IF(ISTEXT($H881), 0, (RANK($H881,$H880:$H886)/10)) + (RANK($G881,$G880:$G886)/100)))</f>
        <v>4.42</v>
      </c>
      <c r="W881" s="153"/>
    </row>
    <row r="882" ht="15.75" customHeight="1">
      <c r="A882" s="134"/>
      <c r="B882" s="134"/>
      <c r="C882" s="134"/>
      <c r="D882" s="556">
        <f>D880</f>
        <v>46204</v>
      </c>
      <c r="E882" s="469" t="str">
        <f>$M$1</f>
        <v>Giacomo</v>
      </c>
      <c r="F882" s="408">
        <f>IFERROR(AVERAGE(Rankings!$K882:$R882), "TBD")</f>
        <v>3.833333333</v>
      </c>
      <c r="G882" s="408">
        <f>IFERROR(_xlfn.STDEV.P(Rankings!$K882:$R882), "TBD")</f>
        <v>1.343709625</v>
      </c>
      <c r="H882" s="408">
        <f>IFERROR(AVERAGE(Rankings!$K882:$L882, Rankings!$N882:$R882), "TBD")</f>
        <v>4</v>
      </c>
      <c r="I882" s="437" t="s">
        <v>2011</v>
      </c>
      <c r="J882" s="437" t="s">
        <v>2012</v>
      </c>
      <c r="K882" s="430">
        <v>2.0</v>
      </c>
      <c r="L882" s="431">
        <v>5.0</v>
      </c>
      <c r="M882" s="431">
        <v>3.0</v>
      </c>
      <c r="N882" s="555"/>
      <c r="O882" s="431">
        <v>4.0</v>
      </c>
      <c r="P882" s="431">
        <v>3.0</v>
      </c>
      <c r="Q882" s="464">
        <v>6.0</v>
      </c>
      <c r="R882" s="465"/>
      <c r="S882" s="466">
        <f>IF(ISTEXT($V882), "TBD", RANK(V882,$V880:$V886))</f>
        <v>4</v>
      </c>
      <c r="T882" s="467">
        <v>1.0</v>
      </c>
      <c r="U882" s="468" t="b">
        <f>Rankings!$S882=Rankings!$T882</f>
        <v>0</v>
      </c>
      <c r="V882" s="553">
        <f>IF(ISTEXT(Rankings!F882), "TBD", (RANK($F882,$F880:$F886) + IF(ISTEXT($H882), 0, (RANK($H882,$H880:$H886)/10)) + (RANK($G882,$G880:$G886)/100)))</f>
        <v>2.36</v>
      </c>
      <c r="W882" s="153"/>
    </row>
    <row r="883" ht="15.75" customHeight="1">
      <c r="A883" s="134"/>
      <c r="B883" s="134"/>
      <c r="C883" s="134"/>
      <c r="D883" s="557">
        <f>D880</f>
        <v>46204</v>
      </c>
      <c r="E883" s="470" t="str">
        <f>$N$1</f>
        <v>Rosey</v>
      </c>
      <c r="F883" s="411" t="str">
        <f>IFERROR(AVERAGE(Rankings!$K883:$R883), "TBD")</f>
        <v>TBD</v>
      </c>
      <c r="G883" s="411" t="str">
        <f>IFERROR(_xlfn.STDEV.P(Rankings!$K883:$R883), "TBD")</f>
        <v>TBD</v>
      </c>
      <c r="H883" s="411" t="str">
        <f>IFERROR(AVERAGE(Rankings!$K883:$M883, Rankings!$O883:$R883), "TBD")</f>
        <v>TBD</v>
      </c>
      <c r="I883" s="568"/>
      <c r="J883" s="568"/>
      <c r="K883" s="565"/>
      <c r="L883" s="566"/>
      <c r="M883" s="431" t="s">
        <v>2013</v>
      </c>
      <c r="N883" s="555"/>
      <c r="O883" s="431" t="s">
        <v>1697</v>
      </c>
      <c r="P883" s="431" t="s">
        <v>1698</v>
      </c>
      <c r="Q883" s="464" t="s">
        <v>1766</v>
      </c>
      <c r="R883" s="465"/>
      <c r="S883" s="466" t="str">
        <f>IF(ISTEXT($V883), "TBD", RANK(V883,$V880:$V886))</f>
        <v>TBD</v>
      </c>
      <c r="T883" s="467">
        <v>1.0</v>
      </c>
      <c r="U883" s="468" t="b">
        <f>Rankings!$S883=Rankings!$T883</f>
        <v>0</v>
      </c>
      <c r="V883" s="553" t="str">
        <f>IF(ISTEXT(Rankings!F883), "TBD", (RANK($F883,$F880:$F886) + IF(ISTEXT($H883), 0, (RANK($H883,$H880:$H886)/10)) + (RANK($G883,$G880:$G886)/100)))</f>
        <v>TBD</v>
      </c>
      <c r="W883" s="153"/>
    </row>
    <row r="884" ht="15.75" customHeight="1">
      <c r="A884" s="134"/>
      <c r="B884" s="134"/>
      <c r="C884" s="134"/>
      <c r="D884" s="561">
        <f t="shared" ref="D884:D886" si="128">D880</f>
        <v>46204</v>
      </c>
      <c r="E884" s="471" t="str">
        <f>$O$1</f>
        <v>TTAC</v>
      </c>
      <c r="F884" s="414">
        <f>IFERROR(AVERAGE(Rankings!$K884:$R884), "TBD")</f>
        <v>4.166666667</v>
      </c>
      <c r="G884" s="414">
        <f>IFERROR(_xlfn.STDEV.P(Rankings!$K884:$R884), "TBD")</f>
        <v>1.67497927</v>
      </c>
      <c r="H884" s="414">
        <f>IFERROR(AVERAGE(Rankings!$K884:$N884, Rankings!$P884:$R884), "TBD")</f>
        <v>4.6</v>
      </c>
      <c r="I884" s="439" t="s">
        <v>2014</v>
      </c>
      <c r="J884" s="439" t="s">
        <v>2015</v>
      </c>
      <c r="K884" s="430">
        <v>4.0</v>
      </c>
      <c r="L884" s="431">
        <v>6.0</v>
      </c>
      <c r="M884" s="431">
        <v>6.0</v>
      </c>
      <c r="N884" s="555"/>
      <c r="O884" s="431">
        <v>2.0</v>
      </c>
      <c r="P884" s="431">
        <v>5.0</v>
      </c>
      <c r="Q884" s="464">
        <v>2.0</v>
      </c>
      <c r="R884" s="465"/>
      <c r="S884" s="466">
        <f>IF(ISTEXT($V884), "TBD", RANK(V884,$V880:$V886))</f>
        <v>6</v>
      </c>
      <c r="T884" s="467">
        <v>1.0</v>
      </c>
      <c r="U884" s="468" t="b">
        <f>Rankings!$S884=Rankings!$T884</f>
        <v>0</v>
      </c>
      <c r="V884" s="553">
        <f>IF(ISTEXT(Rankings!F884), "TBD", (RANK($F884,$F880:$F886) + IF(ISTEXT($H884), 0, (RANK($H884,$H880:$H886)/10)) + (RANK($G884,$G880:$G886)/100)))</f>
        <v>1.13</v>
      </c>
      <c r="W884" s="153"/>
    </row>
    <row r="885" ht="15.75" customHeight="1">
      <c r="A885" s="134"/>
      <c r="B885" s="134"/>
      <c r="C885" s="134"/>
      <c r="D885" s="562">
        <f t="shared" si="128"/>
        <v>46204</v>
      </c>
      <c r="E885" s="472" t="str">
        <f>$P$1</f>
        <v>Weston</v>
      </c>
      <c r="F885" s="418">
        <f>IFERROR(AVERAGE(Rankings!$K885:$R885), "TBD")</f>
        <v>3.833333333</v>
      </c>
      <c r="G885" s="418">
        <f>IFERROR(_xlfn.STDEV.P(Rankings!$K885:$R885), "TBD")</f>
        <v>1.572330189</v>
      </c>
      <c r="H885" s="418">
        <f>IFERROR(AVERAGE(Rankings!$K885:$O885, Rankings!$Q885:$R885), "TBD")</f>
        <v>4.4</v>
      </c>
      <c r="I885" s="440" t="s">
        <v>2016</v>
      </c>
      <c r="J885" s="440" t="s">
        <v>1387</v>
      </c>
      <c r="K885" s="430">
        <v>6.0</v>
      </c>
      <c r="L885" s="431">
        <v>4.0</v>
      </c>
      <c r="M885" s="431">
        <v>5.0</v>
      </c>
      <c r="N885" s="555"/>
      <c r="O885" s="431">
        <v>3.0</v>
      </c>
      <c r="P885" s="431">
        <v>1.0</v>
      </c>
      <c r="Q885" s="464">
        <v>4.0</v>
      </c>
      <c r="R885" s="465"/>
      <c r="S885" s="466">
        <f>IF(ISTEXT($V885), "TBD", RANK(V885,$V880:$V886))</f>
        <v>5</v>
      </c>
      <c r="T885" s="467">
        <v>1.0</v>
      </c>
      <c r="U885" s="468" t="b">
        <f>Rankings!$S885=Rankings!$T885</f>
        <v>0</v>
      </c>
      <c r="V885" s="553">
        <f>IF(ISTEXT(Rankings!F885), "TBD", (RANK($F885,$F880:$F886) + IF(ISTEXT($H885), 0, (RANK($H885,$H880:$H886)/10)) + (RANK($G885,$G880:$G886)/100)))</f>
        <v>2.24</v>
      </c>
      <c r="W885" s="153"/>
    </row>
    <row r="886" ht="15.75" customHeight="1">
      <c r="A886" s="189"/>
      <c r="B886" s="189"/>
      <c r="C886" s="189"/>
      <c r="D886" s="563">
        <f t="shared" si="128"/>
        <v>46204</v>
      </c>
      <c r="E886" s="230" t="str">
        <f>$Q$1</f>
        <v>Flocco</v>
      </c>
      <c r="F886" s="474">
        <f>IFERROR(AVERAGE(Rankings!$K886:$R886), "TBD")</f>
        <v>3.166666667</v>
      </c>
      <c r="G886" s="474">
        <f>IFERROR(_xlfn.STDEV.P(Rankings!$K886:$R886), "TBD")</f>
        <v>1.950783318</v>
      </c>
      <c r="H886" s="474">
        <f>IFERROR(AVERAGE(Rankings!$K886:$P886, Rankings!$R886), "TBD")</f>
        <v>3.6</v>
      </c>
      <c r="I886" s="475" t="s">
        <v>2017</v>
      </c>
      <c r="J886" s="475" t="s">
        <v>2018</v>
      </c>
      <c r="K886" s="430">
        <v>5.0</v>
      </c>
      <c r="L886" s="431">
        <v>1.0</v>
      </c>
      <c r="M886" s="431">
        <v>2.0</v>
      </c>
      <c r="N886" s="555"/>
      <c r="O886" s="431">
        <v>6.0</v>
      </c>
      <c r="P886" s="431">
        <v>4.0</v>
      </c>
      <c r="Q886" s="464">
        <v>1.0</v>
      </c>
      <c r="R886" s="465"/>
      <c r="S886" s="466">
        <f>IF(ISTEXT($V886), "TBD", RANK(V886,$V880:$V886))</f>
        <v>2</v>
      </c>
      <c r="T886" s="467">
        <v>1.0</v>
      </c>
      <c r="U886" s="468" t="b">
        <f>Rankings!$S886=Rankings!$T886</f>
        <v>0</v>
      </c>
      <c r="V886" s="553">
        <f>IF(ISTEXT(Rankings!F886), "TBD", (RANK($F886,$F880:$F886) + IF(ISTEXT($H886), 0, (RANK($H886,$H880:$H886)/10)) + (RANK($G886,$G880:$G886)/100)))</f>
        <v>5.51</v>
      </c>
      <c r="W886" s="208"/>
    </row>
    <row r="887" ht="15.75" customHeight="1">
      <c r="A887" s="103">
        <v>46206.0</v>
      </c>
      <c r="B887" s="453"/>
      <c r="C887" s="454" t="str">
        <f t="array" ref="C887">INDEX(Rankings!$E887:$E893, MATCH(1, (Rankings!$D887:$D893=$A887)*(Rankings!$U887:$U893=TRUE()), 0))</f>
        <v>Flocco</v>
      </c>
      <c r="D887" s="551">
        <f>A887</f>
        <v>46206</v>
      </c>
      <c r="E887" s="455" t="str">
        <f>$K$1</f>
        <v>Logan</v>
      </c>
      <c r="F887" s="400">
        <f>IFERROR(AVERAGE(Rankings!$K887:$R887), "TBD")</f>
        <v>4.333333333</v>
      </c>
      <c r="G887" s="400">
        <f>IFERROR(_xlfn.STDEV.P(Rankings!$K887:$R887), "TBD")</f>
        <v>1.490711985</v>
      </c>
      <c r="H887" s="400">
        <f>IFERROR(AVERAGE(Rankings!$L887:$R887), "TBD")</f>
        <v>4.8</v>
      </c>
      <c r="I887" s="421" t="s">
        <v>2019</v>
      </c>
      <c r="J887" s="421" t="s">
        <v>2020</v>
      </c>
      <c r="K887" s="422">
        <v>2.0</v>
      </c>
      <c r="L887" s="423">
        <v>4.0</v>
      </c>
      <c r="M887" s="423">
        <v>6.0</v>
      </c>
      <c r="N887" s="555"/>
      <c r="O887" s="423">
        <v>5.0</v>
      </c>
      <c r="P887" s="423">
        <v>6.0</v>
      </c>
      <c r="Q887" s="456">
        <v>3.0</v>
      </c>
      <c r="R887" s="457"/>
      <c r="S887" s="458">
        <f>IF(ISTEXT($V887), "TBD", RANK(V887,$V887:$V893))</f>
        <v>5</v>
      </c>
      <c r="T887" s="459">
        <v>1.0</v>
      </c>
      <c r="U887" s="460" t="b">
        <f>Rankings!$S887=Rankings!$T887</f>
        <v>0</v>
      </c>
      <c r="V887" s="553">
        <f>IF(ISTEXT(Rankings!F887), "TBD", (RANK($F887,$F887:$F893) + IF(ISTEXT($H887), 0, (RANK($H887,$H887:$H893)/10)) + (RANK($G887,$G887:$G893)/100)))</f>
        <v>1.22</v>
      </c>
      <c r="W887" s="329"/>
    </row>
    <row r="888" ht="15.75" customHeight="1">
      <c r="A888" s="134"/>
      <c r="B888" s="134"/>
      <c r="C888" s="134"/>
      <c r="D888" s="554">
        <f>D887</f>
        <v>46206</v>
      </c>
      <c r="E888" s="463" t="str">
        <f>$L$1</f>
        <v>Parker</v>
      </c>
      <c r="F888" s="404">
        <f>IFERROR(AVERAGE(Rankings!$K888:$R888), "TBD")</f>
        <v>3.833333333</v>
      </c>
      <c r="G888" s="404">
        <f>IFERROR(_xlfn.STDEV.P(Rankings!$K888:$R888), "TBD")</f>
        <v>1.462494065</v>
      </c>
      <c r="H888" s="404">
        <f>IFERROR(AVERAGE(Rankings!$K888, Rankings!$M888:$R888), "TBD")</f>
        <v>4.2</v>
      </c>
      <c r="I888" s="429" t="s">
        <v>2021</v>
      </c>
      <c r="J888" s="429" t="s">
        <v>2022</v>
      </c>
      <c r="K888" s="430">
        <v>6.0</v>
      </c>
      <c r="L888" s="431">
        <v>2.0</v>
      </c>
      <c r="M888" s="431">
        <v>4.0</v>
      </c>
      <c r="N888" s="555"/>
      <c r="O888" s="431">
        <v>2.0</v>
      </c>
      <c r="P888" s="431">
        <v>4.0</v>
      </c>
      <c r="Q888" s="464">
        <v>5.0</v>
      </c>
      <c r="R888" s="465"/>
      <c r="S888" s="466">
        <f>IF(ISTEXT($V888), "TBD", RANK(V888,$V887:$V893))</f>
        <v>3</v>
      </c>
      <c r="T888" s="467">
        <v>1.0</v>
      </c>
      <c r="U888" s="468" t="b">
        <f>Rankings!$S888=Rankings!$T888</f>
        <v>0</v>
      </c>
      <c r="V888" s="553">
        <f>IF(ISTEXT(Rankings!F888), "TBD", (RANK($F888,$F887:$F893) + IF(ISTEXT($H888), 0, (RANK($H888,$H887:$H893)/10)) + (RANK($G888,$G887:$G893)/100)))</f>
        <v>4.43</v>
      </c>
      <c r="W888" s="153"/>
    </row>
    <row r="889" ht="15.75" customHeight="1">
      <c r="A889" s="134"/>
      <c r="B889" s="134"/>
      <c r="C889" s="134"/>
      <c r="D889" s="556">
        <f>D887</f>
        <v>46206</v>
      </c>
      <c r="E889" s="469" t="str">
        <f>$M$1</f>
        <v>Giacomo</v>
      </c>
      <c r="F889" s="408">
        <f>IFERROR(AVERAGE(Rankings!$K889:$R889), "TBD")</f>
        <v>4.333333333</v>
      </c>
      <c r="G889" s="408">
        <f>IFERROR(_xlfn.STDEV.P(Rankings!$K889:$R889), "TBD")</f>
        <v>1.795054936</v>
      </c>
      <c r="H889" s="408">
        <f>IFERROR(AVERAGE(Rankings!$K889:$L889, Rankings!$N889:$R889), "TBD")</f>
        <v>5</v>
      </c>
      <c r="I889" s="437" t="s">
        <v>2023</v>
      </c>
      <c r="J889" s="437" t="s">
        <v>2024</v>
      </c>
      <c r="K889" s="430">
        <v>3.0</v>
      </c>
      <c r="L889" s="431">
        <v>5.0</v>
      </c>
      <c r="M889" s="431">
        <v>1.0</v>
      </c>
      <c r="N889" s="555"/>
      <c r="O889" s="431">
        <v>6.0</v>
      </c>
      <c r="P889" s="431">
        <v>5.0</v>
      </c>
      <c r="Q889" s="464">
        <v>6.0</v>
      </c>
      <c r="R889" s="465"/>
      <c r="S889" s="466">
        <f>IF(ISTEXT($V889), "TBD", RANK(V889,$V887:$V893))</f>
        <v>6</v>
      </c>
      <c r="T889" s="467">
        <v>1.0</v>
      </c>
      <c r="U889" s="468" t="b">
        <f>Rankings!$S889=Rankings!$T889</f>
        <v>0</v>
      </c>
      <c r="V889" s="553">
        <f>IF(ISTEXT(Rankings!F889), "TBD", (RANK($F889,$F887:$F893) + IF(ISTEXT($H889), 0, (RANK($H889,$H887:$H893)/10)) + (RANK($G889,$G887:$G893)/100)))</f>
        <v>1.11</v>
      </c>
      <c r="W889" s="153"/>
    </row>
    <row r="890" ht="15.75" customHeight="1">
      <c r="A890" s="134"/>
      <c r="B890" s="134"/>
      <c r="C890" s="134"/>
      <c r="D890" s="557">
        <f>D887</f>
        <v>46206</v>
      </c>
      <c r="E890" s="470" t="str">
        <f>$N$1</f>
        <v>Rosey</v>
      </c>
      <c r="F890" s="411" t="str">
        <f>IFERROR(AVERAGE(Rankings!$K890:$R890), "TBD")</f>
        <v>TBD</v>
      </c>
      <c r="G890" s="411" t="str">
        <f>IFERROR(_xlfn.STDEV.P(Rankings!$K890:$R890), "TBD")</f>
        <v>TBD</v>
      </c>
      <c r="H890" s="411" t="str">
        <f>IFERROR(AVERAGE(Rankings!$K890:$M890, Rankings!$O890:$R890), "TBD")</f>
        <v>TBD</v>
      </c>
      <c r="I890" s="568"/>
      <c r="J890" s="568"/>
      <c r="K890" s="565"/>
      <c r="L890" s="566"/>
      <c r="M890" s="431" t="s">
        <v>2025</v>
      </c>
      <c r="N890" s="555"/>
      <c r="O890" s="431" t="s">
        <v>1697</v>
      </c>
      <c r="P890" s="431" t="s">
        <v>1698</v>
      </c>
      <c r="Q890" s="464" t="s">
        <v>1766</v>
      </c>
      <c r="R890" s="465"/>
      <c r="S890" s="466" t="str">
        <f>IF(ISTEXT($V890), "TBD", RANK(V890,$V887:$V893))</f>
        <v>TBD</v>
      </c>
      <c r="T890" s="467">
        <v>1.0</v>
      </c>
      <c r="U890" s="468" t="b">
        <f>Rankings!$S890=Rankings!$T890</f>
        <v>0</v>
      </c>
      <c r="V890" s="553" t="str">
        <f>IF(ISTEXT(Rankings!F890), "TBD", (RANK($F890,$F887:$F893) + IF(ISTEXT($H890), 0, (RANK($H890,$H887:$H893)/10)) + (RANK($G890,$G887:$G893)/100)))</f>
        <v>TBD</v>
      </c>
      <c r="W890" s="153"/>
    </row>
    <row r="891" ht="15.75" customHeight="1">
      <c r="A891" s="134"/>
      <c r="B891" s="134"/>
      <c r="C891" s="134"/>
      <c r="D891" s="561">
        <f t="shared" ref="D891:D893" si="129">D887</f>
        <v>46206</v>
      </c>
      <c r="E891" s="471" t="str">
        <f>$O$1</f>
        <v>TTAC</v>
      </c>
      <c r="F891" s="414">
        <f>IFERROR(AVERAGE(Rankings!$K891:$R891), "TBD")</f>
        <v>4.333333333</v>
      </c>
      <c r="G891" s="414">
        <f>IFERROR(_xlfn.STDEV.P(Rankings!$K891:$R891), "TBD")</f>
        <v>1.105541597</v>
      </c>
      <c r="H891" s="414">
        <f>IFERROR(AVERAGE(Rankings!$K891:$N891, Rankings!$P891:$R891), "TBD")</f>
        <v>4.6</v>
      </c>
      <c r="I891" s="439" t="s">
        <v>2026</v>
      </c>
      <c r="J891" s="439" t="s">
        <v>2027</v>
      </c>
      <c r="K891" s="430">
        <v>5.0</v>
      </c>
      <c r="L891" s="431">
        <v>6.0</v>
      </c>
      <c r="M891" s="431">
        <v>5.0</v>
      </c>
      <c r="N891" s="555"/>
      <c r="O891" s="431">
        <v>3.0</v>
      </c>
      <c r="P891" s="431">
        <v>3.0</v>
      </c>
      <c r="Q891" s="464">
        <v>4.0</v>
      </c>
      <c r="R891" s="465"/>
      <c r="S891" s="466">
        <f>IF(ISTEXT($V891), "TBD", RANK(V891,$V887:$V893))</f>
        <v>4</v>
      </c>
      <c r="T891" s="467">
        <v>1.0</v>
      </c>
      <c r="U891" s="468" t="b">
        <f>Rankings!$S891=Rankings!$T891</f>
        <v>0</v>
      </c>
      <c r="V891" s="553">
        <f>IF(ISTEXT(Rankings!F891), "TBD", (RANK($F891,$F887:$F893) + IF(ISTEXT($H891), 0, (RANK($H891,$H887:$H893)/10)) + (RANK($G891,$G887:$G893)/100)))</f>
        <v>1.35</v>
      </c>
      <c r="W891" s="153"/>
    </row>
    <row r="892" ht="15.75" customHeight="1">
      <c r="A892" s="134"/>
      <c r="B892" s="134"/>
      <c r="C892" s="134"/>
      <c r="D892" s="562">
        <f t="shared" si="129"/>
        <v>46206</v>
      </c>
      <c r="E892" s="472" t="str">
        <f>$P$1</f>
        <v>Weston</v>
      </c>
      <c r="F892" s="418">
        <f>IFERROR(AVERAGE(Rankings!$K892:$R892), "TBD")</f>
        <v>2.166666667</v>
      </c>
      <c r="G892" s="418">
        <f>IFERROR(_xlfn.STDEV.P(Rankings!$K892:$R892), "TBD")</f>
        <v>1.067187373</v>
      </c>
      <c r="H892" s="418">
        <f>IFERROR(AVERAGE(Rankings!$K892:$O892, Rankings!$Q892:$R892), "TBD")</f>
        <v>2.2</v>
      </c>
      <c r="I892" s="440" t="s">
        <v>2028</v>
      </c>
      <c r="J892" s="440" t="s">
        <v>2029</v>
      </c>
      <c r="K892" s="430">
        <v>1.0</v>
      </c>
      <c r="L892" s="431">
        <v>1.0</v>
      </c>
      <c r="M892" s="431">
        <v>3.0</v>
      </c>
      <c r="N892" s="555"/>
      <c r="O892" s="431">
        <v>4.0</v>
      </c>
      <c r="P892" s="431">
        <v>2.0</v>
      </c>
      <c r="Q892" s="464">
        <v>2.0</v>
      </c>
      <c r="R892" s="465"/>
      <c r="S892" s="466">
        <f>IF(ISTEXT($V892), "TBD", RANK(V892,$V887:$V893))</f>
        <v>2</v>
      </c>
      <c r="T892" s="467">
        <v>1.0</v>
      </c>
      <c r="U892" s="468" t="b">
        <f>Rankings!$S892=Rankings!$T892</f>
        <v>0</v>
      </c>
      <c r="V892" s="553">
        <f>IF(ISTEXT(Rankings!F892), "TBD", (RANK($F892,$F887:$F893) + IF(ISTEXT($H892), 0, (RANK($H892,$H887:$H893)/10)) + (RANK($G892,$G887:$G893)/100)))</f>
        <v>5.56</v>
      </c>
      <c r="W892" s="153"/>
    </row>
    <row r="893" ht="15.75" customHeight="1">
      <c r="A893" s="189"/>
      <c r="B893" s="189"/>
      <c r="C893" s="189"/>
      <c r="D893" s="563">
        <f t="shared" si="129"/>
        <v>46206</v>
      </c>
      <c r="E893" s="230" t="str">
        <f>$Q$1</f>
        <v>Flocco</v>
      </c>
      <c r="F893" s="474">
        <f>IFERROR(AVERAGE(Rankings!$K893:$R893), "TBD")</f>
        <v>2</v>
      </c>
      <c r="G893" s="474">
        <f>IFERROR(_xlfn.STDEV.P(Rankings!$K893:$R893), "TBD")</f>
        <v>1.154700538</v>
      </c>
      <c r="H893" s="474">
        <f>IFERROR(AVERAGE(Rankings!$K893:$P893, Rankings!$R893), "TBD")</f>
        <v>2.2</v>
      </c>
      <c r="I893" s="475" t="s">
        <v>2030</v>
      </c>
      <c r="J893" s="475" t="s">
        <v>2031</v>
      </c>
      <c r="K893" s="430">
        <v>4.0</v>
      </c>
      <c r="L893" s="431">
        <v>3.0</v>
      </c>
      <c r="M893" s="431">
        <v>2.0</v>
      </c>
      <c r="N893" s="555"/>
      <c r="O893" s="431">
        <v>1.0</v>
      </c>
      <c r="P893" s="431">
        <v>1.0</v>
      </c>
      <c r="Q893" s="464">
        <v>1.0</v>
      </c>
      <c r="R893" s="465"/>
      <c r="S893" s="466">
        <f>IF(ISTEXT($V893), "TBD", RANK(V893,$V887:$V893))</f>
        <v>1</v>
      </c>
      <c r="T893" s="467">
        <v>1.0</v>
      </c>
      <c r="U893" s="468" t="b">
        <f>Rankings!$S893=Rankings!$T893</f>
        <v>1</v>
      </c>
      <c r="V893" s="553">
        <f>IF(ISTEXT(Rankings!F893), "TBD", (RANK($F893,$F887:$F893) + IF(ISTEXT($H893), 0, (RANK($H893,$H887:$H893)/10)) + (RANK($G893,$G887:$G893)/100)))</f>
        <v>6.54</v>
      </c>
      <c r="W893" s="208"/>
    </row>
    <row r="894" ht="15.75" customHeight="1">
      <c r="A894" s="103">
        <v>46209.0</v>
      </c>
      <c r="B894" s="453"/>
      <c r="C894" s="454" t="str">
        <f t="array" ref="C894">INDEX(Rankings!$E894:$E900, MATCH(1, (Rankings!$D894:$D900=$A894)*(Rankings!$U894:$U900=TRUE()), 0))</f>
        <v>Weston</v>
      </c>
      <c r="D894" s="551">
        <f>A894</f>
        <v>46209</v>
      </c>
      <c r="E894" s="455" t="str">
        <f>$K$1</f>
        <v>Logan</v>
      </c>
      <c r="F894" s="400">
        <f>IFERROR(AVERAGE(Rankings!$K894:$R894), "TBD")</f>
        <v>3.166666667</v>
      </c>
      <c r="G894" s="400">
        <f>IFERROR(_xlfn.STDEV.P(Rankings!$K894:$R894), "TBD")</f>
        <v>1.213351648</v>
      </c>
      <c r="H894" s="400">
        <f>IFERROR(AVERAGE(Rankings!$L894:$R894), "TBD")</f>
        <v>3.4</v>
      </c>
      <c r="I894" s="421" t="s">
        <v>2032</v>
      </c>
      <c r="J894" s="421" t="s">
        <v>2033</v>
      </c>
      <c r="K894" s="422">
        <v>2.0</v>
      </c>
      <c r="L894" s="423">
        <v>2.0</v>
      </c>
      <c r="M894" s="423">
        <v>5.0</v>
      </c>
      <c r="N894" s="555"/>
      <c r="O894" s="423">
        <v>4.0</v>
      </c>
      <c r="P894" s="423">
        <v>2.0</v>
      </c>
      <c r="Q894" s="456">
        <v>4.0</v>
      </c>
      <c r="R894" s="457"/>
      <c r="S894" s="458">
        <f>IF(ISTEXT($V894), "TBD", RANK(V894,$V894:$V900))</f>
        <v>3</v>
      </c>
      <c r="T894" s="459">
        <v>1.0</v>
      </c>
      <c r="U894" s="460" t="b">
        <f>Rankings!$S894=Rankings!$T894</f>
        <v>0</v>
      </c>
      <c r="V894" s="553">
        <f>IF(ISTEXT(Rankings!F894), "TBD", (RANK($F894,$F894:$F900) + IF(ISTEXT($H894), 0, (RANK($H894,$H894:$H900)/10)) + (RANK($G894,$G894:$G900)/100)))</f>
        <v>4.45</v>
      </c>
      <c r="W894" s="329"/>
    </row>
    <row r="895" ht="15.75" customHeight="1">
      <c r="A895" s="134"/>
      <c r="B895" s="134"/>
      <c r="C895" s="134"/>
      <c r="D895" s="554">
        <f>D894</f>
        <v>46209</v>
      </c>
      <c r="E895" s="463" t="str">
        <f>$L$1</f>
        <v>Parker</v>
      </c>
      <c r="F895" s="404">
        <f>IFERROR(AVERAGE(Rankings!$K895:$R895), "TBD")</f>
        <v>4</v>
      </c>
      <c r="G895" s="404">
        <f>IFERROR(_xlfn.STDEV.P(Rankings!$K895:$R895), "TBD")</f>
        <v>1.825741858</v>
      </c>
      <c r="H895" s="404">
        <f>IFERROR(AVERAGE(Rankings!$K895, Rankings!$M895:$R895), "TBD")</f>
        <v>4.6</v>
      </c>
      <c r="I895" s="429" t="s">
        <v>2034</v>
      </c>
      <c r="J895" s="429" t="s">
        <v>2035</v>
      </c>
      <c r="K895" s="430">
        <v>5.0</v>
      </c>
      <c r="L895" s="431">
        <v>1.0</v>
      </c>
      <c r="M895" s="431">
        <v>2.0</v>
      </c>
      <c r="N895" s="555"/>
      <c r="O895" s="431">
        <v>6.0</v>
      </c>
      <c r="P895" s="431">
        <v>5.0</v>
      </c>
      <c r="Q895" s="464">
        <v>5.0</v>
      </c>
      <c r="R895" s="465"/>
      <c r="S895" s="466">
        <f>IF(ISTEXT($V895), "TBD", RANK(V895,$V894:$V900))</f>
        <v>5</v>
      </c>
      <c r="T895" s="467">
        <v>1.0</v>
      </c>
      <c r="U895" s="468" t="b">
        <f>Rankings!$S895=Rankings!$T895</f>
        <v>0</v>
      </c>
      <c r="V895" s="553">
        <f>IF(ISTEXT(Rankings!F895), "TBD", (RANK($F895,$F894:$F900) + IF(ISTEXT($H895), 0, (RANK($H895,$H894:$H900)/10)) + (RANK($G895,$G894:$G900)/100)))</f>
        <v>2.23</v>
      </c>
      <c r="W895" s="153"/>
    </row>
    <row r="896" ht="15.75" customHeight="1">
      <c r="A896" s="134"/>
      <c r="B896" s="134"/>
      <c r="C896" s="134"/>
      <c r="D896" s="556">
        <f>D894</f>
        <v>46209</v>
      </c>
      <c r="E896" s="469" t="str">
        <f>$M$1</f>
        <v>Giacomo</v>
      </c>
      <c r="F896" s="408">
        <f>IFERROR(AVERAGE(Rankings!$K896:$R896), "TBD")</f>
        <v>4.5</v>
      </c>
      <c r="G896" s="408">
        <f>IFERROR(_xlfn.STDEV.P(Rankings!$K896:$R896), "TBD")</f>
        <v>1.892969449</v>
      </c>
      <c r="H896" s="408">
        <f>IFERROR(AVERAGE(Rankings!$K896:$L896, Rankings!$N896:$R896), "TBD")</f>
        <v>5.2</v>
      </c>
      <c r="I896" s="437" t="s">
        <v>2036</v>
      </c>
      <c r="J896" s="437" t="s">
        <v>2037</v>
      </c>
      <c r="K896" s="430">
        <v>6.0</v>
      </c>
      <c r="L896" s="431">
        <v>3.0</v>
      </c>
      <c r="M896" s="431">
        <v>1.0</v>
      </c>
      <c r="N896" s="555"/>
      <c r="O896" s="431">
        <v>5.0</v>
      </c>
      <c r="P896" s="431">
        <v>6.0</v>
      </c>
      <c r="Q896" s="464">
        <v>6.0</v>
      </c>
      <c r="R896" s="465"/>
      <c r="S896" s="466">
        <f>IF(ISTEXT($V896), "TBD", RANK(V896,$V894:$V900))</f>
        <v>6</v>
      </c>
      <c r="T896" s="467">
        <v>1.0</v>
      </c>
      <c r="U896" s="468" t="b">
        <f>Rankings!$S896=Rankings!$T896</f>
        <v>0</v>
      </c>
      <c r="V896" s="553">
        <f>IF(ISTEXT(Rankings!F896), "TBD", (RANK($F896,$F894:$F900) + IF(ISTEXT($H896), 0, (RANK($H896,$H894:$H900)/10)) + (RANK($G896,$G894:$G900)/100)))</f>
        <v>1.11</v>
      </c>
      <c r="W896" s="153"/>
    </row>
    <row r="897" ht="15.75" customHeight="1">
      <c r="A897" s="134"/>
      <c r="B897" s="134"/>
      <c r="C897" s="134"/>
      <c r="D897" s="557">
        <f>D894</f>
        <v>46209</v>
      </c>
      <c r="E897" s="470" t="str">
        <f>$N$1</f>
        <v>Rosey</v>
      </c>
      <c r="F897" s="411" t="str">
        <f>IFERROR(AVERAGE(Rankings!$K897:$R897), "TBD")</f>
        <v>TBD</v>
      </c>
      <c r="G897" s="411" t="str">
        <f>IFERROR(_xlfn.STDEV.P(Rankings!$K897:$R897), "TBD")</f>
        <v>TBD</v>
      </c>
      <c r="H897" s="411" t="str">
        <f>IFERROR(AVERAGE(Rankings!$K897:$M897, Rankings!$O897:$R897), "TBD")</f>
        <v>TBD</v>
      </c>
      <c r="I897" s="568"/>
      <c r="J897" s="568"/>
      <c r="K897" s="565"/>
      <c r="L897" s="566"/>
      <c r="M897" s="431" t="s">
        <v>2038</v>
      </c>
      <c r="N897" s="555"/>
      <c r="O897" s="431" t="s">
        <v>1697</v>
      </c>
      <c r="P897" s="431" t="s">
        <v>1698</v>
      </c>
      <c r="Q897" s="464" t="s">
        <v>1766</v>
      </c>
      <c r="R897" s="465"/>
      <c r="S897" s="466" t="str">
        <f>IF(ISTEXT($V897), "TBD", RANK(V897,$V894:$V900))</f>
        <v>TBD</v>
      </c>
      <c r="T897" s="467">
        <v>1.0</v>
      </c>
      <c r="U897" s="468" t="b">
        <f>Rankings!$S897=Rankings!$T897</f>
        <v>0</v>
      </c>
      <c r="V897" s="553" t="str">
        <f>IF(ISTEXT(Rankings!F897), "TBD", (RANK($F897,$F894:$F900) + IF(ISTEXT($H897), 0, (RANK($H897,$H894:$H900)/10)) + (RANK($G897,$G894:$G900)/100)))</f>
        <v>TBD</v>
      </c>
      <c r="W897" s="153"/>
    </row>
    <row r="898" ht="15.75" customHeight="1">
      <c r="A898" s="134"/>
      <c r="B898" s="134"/>
      <c r="C898" s="134"/>
      <c r="D898" s="561">
        <f t="shared" ref="D898:D900" si="130">D894</f>
        <v>46209</v>
      </c>
      <c r="E898" s="471" t="str">
        <f>$O$1</f>
        <v>TTAC</v>
      </c>
      <c r="F898" s="414">
        <f>IFERROR(AVERAGE(Rankings!$K898:$R898), "TBD")</f>
        <v>3.166666667</v>
      </c>
      <c r="G898" s="414">
        <f>IFERROR(_xlfn.STDEV.P(Rankings!$K898:$R898), "TBD")</f>
        <v>0.6871842709</v>
      </c>
      <c r="H898" s="414">
        <f>IFERROR(AVERAGE(Rankings!$K898:$N898, Rankings!$P898:$R898), "TBD")</f>
        <v>3.4</v>
      </c>
      <c r="I898" s="439" t="s">
        <v>2039</v>
      </c>
      <c r="J898" s="439" t="s">
        <v>2040</v>
      </c>
      <c r="K898" s="430">
        <v>4.0</v>
      </c>
      <c r="L898" s="431">
        <v>4.0</v>
      </c>
      <c r="M898" s="431">
        <v>3.0</v>
      </c>
      <c r="N898" s="555"/>
      <c r="O898" s="431">
        <v>2.0</v>
      </c>
      <c r="P898" s="431">
        <v>3.0</v>
      </c>
      <c r="Q898" s="464">
        <v>3.0</v>
      </c>
      <c r="R898" s="465"/>
      <c r="S898" s="466">
        <f>IF(ISTEXT($V898), "TBD", RANK(V898,$V894:$V900))</f>
        <v>2</v>
      </c>
      <c r="T898" s="467">
        <v>1.0</v>
      </c>
      <c r="U898" s="468" t="b">
        <f>Rankings!$S898=Rankings!$T898</f>
        <v>0</v>
      </c>
      <c r="V898" s="553">
        <f>IF(ISTEXT(Rankings!F898), "TBD", (RANK($F898,$F894:$F900) + IF(ISTEXT($H898), 0, (RANK($H898,$H894:$H900)/10)) + (RANK($G898,$G894:$G900)/100)))</f>
        <v>4.46</v>
      </c>
      <c r="W898" s="153"/>
    </row>
    <row r="899" ht="15.75" customHeight="1">
      <c r="A899" s="134"/>
      <c r="B899" s="134"/>
      <c r="C899" s="134"/>
      <c r="D899" s="562">
        <f t="shared" si="130"/>
        <v>46209</v>
      </c>
      <c r="E899" s="472" t="str">
        <f>$P$1</f>
        <v>Weston</v>
      </c>
      <c r="F899" s="418">
        <f>IFERROR(AVERAGE(Rankings!$K899:$R899), "TBD")</f>
        <v>2.833333333</v>
      </c>
      <c r="G899" s="418">
        <f>IFERROR(_xlfn.STDEV.P(Rankings!$K899:$R899), "TBD")</f>
        <v>1.771690969</v>
      </c>
      <c r="H899" s="418">
        <f>IFERROR(AVERAGE(Rankings!$K899:$O899, Rankings!$Q899:$R899), "TBD")</f>
        <v>3.2</v>
      </c>
      <c r="I899" s="440" t="s">
        <v>2041</v>
      </c>
      <c r="J899" s="440" t="s">
        <v>2042</v>
      </c>
      <c r="K899" s="430">
        <v>1.0</v>
      </c>
      <c r="L899" s="431">
        <v>6.0</v>
      </c>
      <c r="M899" s="431">
        <v>4.0</v>
      </c>
      <c r="N899" s="555"/>
      <c r="O899" s="431">
        <v>3.0</v>
      </c>
      <c r="P899" s="431">
        <v>1.0</v>
      </c>
      <c r="Q899" s="464">
        <v>2.0</v>
      </c>
      <c r="R899" s="465"/>
      <c r="S899" s="466">
        <f>IF(ISTEXT($V899), "TBD", RANK(V899,$V894:$V900))</f>
        <v>1</v>
      </c>
      <c r="T899" s="467">
        <v>1.0</v>
      </c>
      <c r="U899" s="468" t="b">
        <f>Rankings!$S899=Rankings!$T899</f>
        <v>1</v>
      </c>
      <c r="V899" s="553">
        <f>IF(ISTEXT(Rankings!F899), "TBD", (RANK($F899,$F894:$F900) + IF(ISTEXT($H899), 0, (RANK($H899,$H894:$H900)/10)) + (RANK($G899,$G894:$G900)/100)))</f>
        <v>6.64</v>
      </c>
      <c r="W899" s="153"/>
    </row>
    <row r="900" ht="15.75" customHeight="1">
      <c r="A900" s="189"/>
      <c r="B900" s="189"/>
      <c r="C900" s="189"/>
      <c r="D900" s="563">
        <f t="shared" si="130"/>
        <v>46209</v>
      </c>
      <c r="E900" s="230" t="str">
        <f>$Q$1</f>
        <v>Flocco</v>
      </c>
      <c r="F900" s="474">
        <f>IFERROR(AVERAGE(Rankings!$K900:$R900), "TBD")</f>
        <v>3.333333333</v>
      </c>
      <c r="G900" s="474">
        <f>IFERROR(_xlfn.STDEV.P(Rankings!$K900:$R900), "TBD")</f>
        <v>1.885618083</v>
      </c>
      <c r="H900" s="474">
        <f>IFERROR(AVERAGE(Rankings!$K900:$P900, Rankings!$R900), "TBD")</f>
        <v>3.8</v>
      </c>
      <c r="I900" s="475" t="s">
        <v>2043</v>
      </c>
      <c r="J900" s="475" t="s">
        <v>2044</v>
      </c>
      <c r="K900" s="430">
        <v>3.0</v>
      </c>
      <c r="L900" s="431">
        <v>5.0</v>
      </c>
      <c r="M900" s="431">
        <v>6.0</v>
      </c>
      <c r="N900" s="555"/>
      <c r="O900" s="431">
        <v>1.0</v>
      </c>
      <c r="P900" s="431">
        <v>4.0</v>
      </c>
      <c r="Q900" s="464">
        <v>1.0</v>
      </c>
      <c r="R900" s="465"/>
      <c r="S900" s="466">
        <f>IF(ISTEXT($V900), "TBD", RANK(V900,$V894:$V900))</f>
        <v>4</v>
      </c>
      <c r="T900" s="467">
        <v>1.0</v>
      </c>
      <c r="U900" s="468" t="b">
        <f>Rankings!$S900=Rankings!$T900</f>
        <v>0</v>
      </c>
      <c r="V900" s="553">
        <f>IF(ISTEXT(Rankings!F900), "TBD", (RANK($F900,$F894:$F900) + IF(ISTEXT($H900), 0, (RANK($H900,$H894:$H900)/10)) + (RANK($G900,$G894:$G900)/100)))</f>
        <v>3.32</v>
      </c>
      <c r="W900" s="208"/>
    </row>
    <row r="901" ht="15.75" customHeight="1">
      <c r="A901" s="103">
        <v>46211.0</v>
      </c>
      <c r="B901" s="453"/>
      <c r="C901" s="454" t="str">
        <f t="array" ref="C901">INDEX(Rankings!$E901:$E907, MATCH(1, (Rankings!$D901:$D907=$A901)*(Rankings!$U901:$U907=TRUE()), 0))</f>
        <v>Flocco</v>
      </c>
      <c r="D901" s="551">
        <f>A901</f>
        <v>46211</v>
      </c>
      <c r="E901" s="455" t="str">
        <f>$K$1</f>
        <v>Logan</v>
      </c>
      <c r="F901" s="400">
        <f>IFERROR(AVERAGE(Rankings!$K901:$R901), "TBD")</f>
        <v>3.333333333</v>
      </c>
      <c r="G901" s="400">
        <f>IFERROR(_xlfn.STDEV.P(Rankings!$K901:$R901), "TBD")</f>
        <v>1.598610508</v>
      </c>
      <c r="H901" s="400">
        <f>IFERROR(AVERAGE(Rankings!$L901:$R901), "TBD")</f>
        <v>3.8</v>
      </c>
      <c r="I901" s="421" t="s">
        <v>2045</v>
      </c>
      <c r="J901" s="421" t="s">
        <v>2046</v>
      </c>
      <c r="K901" s="422">
        <v>1.0</v>
      </c>
      <c r="L901" s="423">
        <v>2.0</v>
      </c>
      <c r="M901" s="423">
        <v>4.0</v>
      </c>
      <c r="N901" s="555"/>
      <c r="O901" s="423">
        <v>6.0</v>
      </c>
      <c r="P901" s="423">
        <v>4.0</v>
      </c>
      <c r="Q901" s="456">
        <v>3.0</v>
      </c>
      <c r="R901" s="457"/>
      <c r="S901" s="458">
        <f>IF(ISTEXT($V901), "TBD", RANK(V901,$V901:$V907))</f>
        <v>3</v>
      </c>
      <c r="T901" s="459">
        <v>1.0</v>
      </c>
      <c r="U901" s="460" t="b">
        <f>Rankings!$S901=Rankings!$T901</f>
        <v>0</v>
      </c>
      <c r="V901" s="553">
        <f>IF(ISTEXT(Rankings!F901), "TBD", (RANK($F901,$F901:$F907) + IF(ISTEXT($H901), 0, (RANK($H901,$H901:$H907)/10)) + (RANK($G901,$G901:$G907)/100)))</f>
        <v>4.43</v>
      </c>
      <c r="W901" s="329"/>
    </row>
    <row r="902" ht="15.75" customHeight="1">
      <c r="A902" s="134"/>
      <c r="B902" s="134"/>
      <c r="C902" s="134"/>
      <c r="D902" s="554">
        <f>D901</f>
        <v>46211</v>
      </c>
      <c r="E902" s="463" t="str">
        <f>$L$1</f>
        <v>Parker</v>
      </c>
      <c r="F902" s="404">
        <f>IFERROR(AVERAGE(Rankings!$K902:$R902), "TBD")</f>
        <v>2.833333333</v>
      </c>
      <c r="G902" s="404">
        <f>IFERROR(_xlfn.STDEV.P(Rankings!$K902:$R902), "TBD")</f>
        <v>1.67497927</v>
      </c>
      <c r="H902" s="404">
        <f>IFERROR(AVERAGE(Rankings!$K902, Rankings!$M902:$R902), "TBD")</f>
        <v>3.2</v>
      </c>
      <c r="I902" s="429" t="s">
        <v>2047</v>
      </c>
      <c r="J902" s="429" t="s">
        <v>2048</v>
      </c>
      <c r="K902" s="430">
        <v>5.0</v>
      </c>
      <c r="L902" s="431">
        <v>1.0</v>
      </c>
      <c r="M902" s="431">
        <v>5.0</v>
      </c>
      <c r="N902" s="555"/>
      <c r="O902" s="431">
        <v>1.0</v>
      </c>
      <c r="P902" s="431">
        <v>3.0</v>
      </c>
      <c r="Q902" s="464">
        <v>2.0</v>
      </c>
      <c r="R902" s="465"/>
      <c r="S902" s="466">
        <f>IF(ISTEXT($V902), "TBD", RANK(V902,$V901:$V907))</f>
        <v>2</v>
      </c>
      <c r="T902" s="467">
        <v>1.0</v>
      </c>
      <c r="U902" s="468" t="b">
        <f>Rankings!$S902=Rankings!$T902</f>
        <v>0</v>
      </c>
      <c r="V902" s="553">
        <f>IF(ISTEXT(Rankings!F902), "TBD", (RANK($F902,$F901:$F907) + IF(ISTEXT($H902), 0, (RANK($H902,$H901:$H907)/10)) + (RANK($G902,$G901:$G907)/100)))</f>
        <v>5.52</v>
      </c>
      <c r="W902" s="153"/>
    </row>
    <row r="903" ht="15.75" customHeight="1">
      <c r="A903" s="134"/>
      <c r="B903" s="134"/>
      <c r="C903" s="134"/>
      <c r="D903" s="556">
        <f>D901</f>
        <v>46211</v>
      </c>
      <c r="E903" s="469" t="str">
        <f>$M$1</f>
        <v>Giacomo</v>
      </c>
      <c r="F903" s="408">
        <f>IFERROR(AVERAGE(Rankings!$K903:$R903), "TBD")</f>
        <v>3.833333333</v>
      </c>
      <c r="G903" s="408">
        <f>IFERROR(_xlfn.STDEV.P(Rankings!$K903:$R903), "TBD")</f>
        <v>1.462494065</v>
      </c>
      <c r="H903" s="408">
        <f>IFERROR(AVERAGE(Rankings!$K903:$L903, Rankings!$N903:$R903), "TBD")</f>
        <v>4.2</v>
      </c>
      <c r="I903" s="437" t="s">
        <v>2049</v>
      </c>
      <c r="J903" s="437" t="s">
        <v>2050</v>
      </c>
      <c r="K903" s="430">
        <v>2.0</v>
      </c>
      <c r="L903" s="431">
        <v>4.0</v>
      </c>
      <c r="M903" s="431">
        <v>2.0</v>
      </c>
      <c r="N903" s="555"/>
      <c r="O903" s="431">
        <v>5.0</v>
      </c>
      <c r="P903" s="431">
        <v>6.0</v>
      </c>
      <c r="Q903" s="464">
        <v>4.0</v>
      </c>
      <c r="R903" s="465"/>
      <c r="S903" s="466">
        <f>IF(ISTEXT($V903), "TBD", RANK(V903,$V901:$V907))</f>
        <v>4</v>
      </c>
      <c r="T903" s="467">
        <v>1.0</v>
      </c>
      <c r="U903" s="468" t="b">
        <f>Rankings!$S903=Rankings!$T903</f>
        <v>0</v>
      </c>
      <c r="V903" s="553">
        <f>IF(ISTEXT(Rankings!F903), "TBD", (RANK($F903,$F901:$F907) + IF(ISTEXT($H903), 0, (RANK($H903,$H901:$H907)/10)) + (RANK($G903,$G901:$G907)/100)))</f>
        <v>2.34</v>
      </c>
      <c r="W903" s="153"/>
    </row>
    <row r="904" ht="15.75" customHeight="1">
      <c r="A904" s="134"/>
      <c r="B904" s="134"/>
      <c r="C904" s="134"/>
      <c r="D904" s="557">
        <f>D901</f>
        <v>46211</v>
      </c>
      <c r="E904" s="470" t="str">
        <f>$N$1</f>
        <v>Rosey</v>
      </c>
      <c r="F904" s="411" t="str">
        <f>IFERROR(AVERAGE(Rankings!$K904:$R904), "TBD")</f>
        <v>TBD</v>
      </c>
      <c r="G904" s="411" t="str">
        <f>IFERROR(_xlfn.STDEV.P(Rankings!$K904:$R904), "TBD")</f>
        <v>TBD</v>
      </c>
      <c r="H904" s="411" t="str">
        <f>IFERROR(AVERAGE(Rankings!$K904:$M904, Rankings!$O904:$R904), "TBD")</f>
        <v>TBD</v>
      </c>
      <c r="I904" s="568"/>
      <c r="J904" s="568"/>
      <c r="K904" s="565"/>
      <c r="L904" s="566"/>
      <c r="M904" s="431" t="s">
        <v>2051</v>
      </c>
      <c r="N904" s="555"/>
      <c r="O904" s="431" t="s">
        <v>1697</v>
      </c>
      <c r="P904" s="431" t="s">
        <v>1698</v>
      </c>
      <c r="Q904" s="464" t="s">
        <v>1766</v>
      </c>
      <c r="R904" s="465"/>
      <c r="S904" s="466" t="str">
        <f>IF(ISTEXT($V904), "TBD", RANK(V904,$V901:$V907))</f>
        <v>TBD</v>
      </c>
      <c r="T904" s="467">
        <v>1.0</v>
      </c>
      <c r="U904" s="468" t="b">
        <f>Rankings!$S904=Rankings!$T904</f>
        <v>0</v>
      </c>
      <c r="V904" s="553" t="str">
        <f>IF(ISTEXT(Rankings!F904), "TBD", (RANK($F904,$F901:$F907) + IF(ISTEXT($H904), 0, (RANK($H904,$H901:$H907)/10)) + (RANK($G904,$G901:$G907)/100)))</f>
        <v>TBD</v>
      </c>
      <c r="W904" s="153"/>
    </row>
    <row r="905" ht="15.75" customHeight="1">
      <c r="A905" s="134"/>
      <c r="B905" s="134"/>
      <c r="C905" s="134"/>
      <c r="D905" s="561">
        <f t="shared" ref="D905:D907" si="131">D901</f>
        <v>46211</v>
      </c>
      <c r="E905" s="471" t="str">
        <f>$O$1</f>
        <v>TTAC</v>
      </c>
      <c r="F905" s="414">
        <f>IFERROR(AVERAGE(Rankings!$K905:$R905), "TBD")</f>
        <v>4.666666667</v>
      </c>
      <c r="G905" s="414">
        <f>IFERROR(_xlfn.STDEV.P(Rankings!$K905:$R905), "TBD")</f>
        <v>1.247219129</v>
      </c>
      <c r="H905" s="414">
        <f>IFERROR(AVERAGE(Rankings!$K905:$N905, Rankings!$P905:$R905), "TBD")</f>
        <v>5</v>
      </c>
      <c r="I905" s="439" t="s">
        <v>2052</v>
      </c>
      <c r="J905" s="439" t="s">
        <v>608</v>
      </c>
      <c r="K905" s="430">
        <v>3.0</v>
      </c>
      <c r="L905" s="431">
        <v>5.0</v>
      </c>
      <c r="M905" s="431">
        <v>6.0</v>
      </c>
      <c r="N905" s="555"/>
      <c r="O905" s="431">
        <v>3.0</v>
      </c>
      <c r="P905" s="431">
        <v>5.0</v>
      </c>
      <c r="Q905" s="464">
        <v>6.0</v>
      </c>
      <c r="R905" s="465"/>
      <c r="S905" s="466">
        <f>IF(ISTEXT($V905), "TBD", RANK(V905,$V901:$V907))</f>
        <v>6</v>
      </c>
      <c r="T905" s="467">
        <v>1.0</v>
      </c>
      <c r="U905" s="468" t="b">
        <f>Rankings!$S905=Rankings!$T905</f>
        <v>0</v>
      </c>
      <c r="V905" s="553">
        <f>IF(ISTEXT(Rankings!F905), "TBD", (RANK($F905,$F901:$F907) + IF(ISTEXT($H905), 0, (RANK($H905,$H901:$H907)/10)) + (RANK($G905,$G901:$G907)/100)))</f>
        <v>1.15</v>
      </c>
      <c r="W905" s="153"/>
    </row>
    <row r="906" ht="15.75" customHeight="1">
      <c r="A906" s="134"/>
      <c r="B906" s="134"/>
      <c r="C906" s="134"/>
      <c r="D906" s="562">
        <f t="shared" si="131"/>
        <v>46211</v>
      </c>
      <c r="E906" s="472" t="str">
        <f>$P$1</f>
        <v>Weston</v>
      </c>
      <c r="F906" s="418">
        <f>IFERROR(AVERAGE(Rankings!$K906:$R906), "TBD")</f>
        <v>3.833333333</v>
      </c>
      <c r="G906" s="418">
        <f>IFERROR(_xlfn.STDEV.P(Rankings!$K906:$R906), "TBD")</f>
        <v>2.114762923</v>
      </c>
      <c r="H906" s="418">
        <f>IFERROR(AVERAGE(Rankings!$K906:$O906, Rankings!$Q906:$R906), "TBD")</f>
        <v>4.4</v>
      </c>
      <c r="I906" s="440" t="s">
        <v>2053</v>
      </c>
      <c r="J906" s="440" t="s">
        <v>2054</v>
      </c>
      <c r="K906" s="430">
        <v>6.0</v>
      </c>
      <c r="L906" s="431">
        <v>6.0</v>
      </c>
      <c r="M906" s="431">
        <v>1.0</v>
      </c>
      <c r="N906" s="555"/>
      <c r="O906" s="431">
        <v>4.0</v>
      </c>
      <c r="P906" s="431">
        <v>1.0</v>
      </c>
      <c r="Q906" s="464">
        <v>5.0</v>
      </c>
      <c r="R906" s="465"/>
      <c r="S906" s="466">
        <f>IF(ISTEXT($V906), "TBD", RANK(V906,$V901:$V907))</f>
        <v>5</v>
      </c>
      <c r="T906" s="467">
        <v>1.0</v>
      </c>
      <c r="U906" s="468" t="b">
        <f>Rankings!$S906=Rankings!$T906</f>
        <v>0</v>
      </c>
      <c r="V906" s="553">
        <f>IF(ISTEXT(Rankings!F906), "TBD", (RANK($F906,$F901:$F907) + IF(ISTEXT($H906), 0, (RANK($H906,$H901:$H907)/10)) + (RANK($G906,$G901:$G907)/100)))</f>
        <v>2.21</v>
      </c>
      <c r="W906" s="153"/>
    </row>
    <row r="907" ht="15.75" customHeight="1">
      <c r="A907" s="189"/>
      <c r="B907" s="189"/>
      <c r="C907" s="189"/>
      <c r="D907" s="563">
        <f t="shared" si="131"/>
        <v>46211</v>
      </c>
      <c r="E907" s="230" t="str">
        <f>$Q$1</f>
        <v>Flocco</v>
      </c>
      <c r="F907" s="474">
        <f>IFERROR(AVERAGE(Rankings!$K907:$R907), "TBD")</f>
        <v>2.5</v>
      </c>
      <c r="G907" s="474">
        <f>IFERROR(_xlfn.STDEV.P(Rankings!$K907:$R907), "TBD")</f>
        <v>0.9574271078</v>
      </c>
      <c r="H907" s="474">
        <f>IFERROR(AVERAGE(Rankings!$K907:$P907, Rankings!$R907), "TBD")</f>
        <v>2.8</v>
      </c>
      <c r="I907" s="475" t="s">
        <v>2055</v>
      </c>
      <c r="J907" s="475" t="s">
        <v>2056</v>
      </c>
      <c r="K907" s="430">
        <v>4.0</v>
      </c>
      <c r="L907" s="431">
        <v>3.0</v>
      </c>
      <c r="M907" s="431">
        <v>3.0</v>
      </c>
      <c r="N907" s="555"/>
      <c r="O907" s="431">
        <v>2.0</v>
      </c>
      <c r="P907" s="431">
        <v>2.0</v>
      </c>
      <c r="Q907" s="464">
        <v>1.0</v>
      </c>
      <c r="R907" s="465"/>
      <c r="S907" s="466">
        <f>IF(ISTEXT($V907), "TBD", RANK(V907,$V901:$V907))</f>
        <v>1</v>
      </c>
      <c r="T907" s="467">
        <v>1.0</v>
      </c>
      <c r="U907" s="468" t="b">
        <f>Rankings!$S907=Rankings!$T907</f>
        <v>1</v>
      </c>
      <c r="V907" s="553">
        <f>IF(ISTEXT(Rankings!F907), "TBD", (RANK($F907,$F901:$F907) + IF(ISTEXT($H907), 0, (RANK($H907,$H901:$H907)/10)) + (RANK($G907,$G901:$G907)/100)))</f>
        <v>6.66</v>
      </c>
      <c r="W907" s="208"/>
    </row>
    <row r="908" ht="15.75" customHeight="1">
      <c r="A908" s="103">
        <v>46213.0</v>
      </c>
      <c r="B908" s="453"/>
      <c r="C908" s="454" t="str">
        <f t="array" ref="C908">INDEX(Rankings!$E908:$E914, MATCH(1, (Rankings!$D908:$D914=$A908)*(Rankings!$U908:$U914=TRUE()), 0))</f>
        <v>Logan</v>
      </c>
      <c r="D908" s="551">
        <f>A908</f>
        <v>46213</v>
      </c>
      <c r="E908" s="455" t="str">
        <f>$K$1</f>
        <v>Logan</v>
      </c>
      <c r="F908" s="400">
        <f>IFERROR(AVERAGE(Rankings!$K908:$R908), "TBD")</f>
        <v>2.166666667</v>
      </c>
      <c r="G908" s="400">
        <f>IFERROR(_xlfn.STDEV.P(Rankings!$K908:$R908), "TBD")</f>
        <v>1.067187373</v>
      </c>
      <c r="H908" s="400">
        <f>IFERROR(AVERAGE(Rankings!$L908:$R908), "TBD")</f>
        <v>2.2</v>
      </c>
      <c r="I908" s="421" t="s">
        <v>130</v>
      </c>
      <c r="J908" s="421" t="s">
        <v>2057</v>
      </c>
      <c r="K908" s="422">
        <v>2.0</v>
      </c>
      <c r="L908" s="423">
        <v>4.0</v>
      </c>
      <c r="M908" s="423">
        <v>2.0</v>
      </c>
      <c r="N908" s="555"/>
      <c r="O908" s="423">
        <v>1.0</v>
      </c>
      <c r="P908" s="423">
        <v>3.0</v>
      </c>
      <c r="Q908" s="456">
        <v>1.0</v>
      </c>
      <c r="R908" s="457"/>
      <c r="S908" s="458">
        <f>IF(ISTEXT($V908), "TBD", RANK(V908,$V908:$V914))</f>
        <v>1</v>
      </c>
      <c r="T908" s="459">
        <v>1.0</v>
      </c>
      <c r="U908" s="460" t="b">
        <f>Rankings!$S908=Rankings!$T908</f>
        <v>1</v>
      </c>
      <c r="V908" s="553">
        <f>IF(ISTEXT(Rankings!F908), "TBD", (RANK($F908,$F908:$F914) + IF(ISTEXT($H908), 0, (RANK($H908,$H908:$H914)/10)) + (RANK($G908,$G908:$G914)/100)))</f>
        <v>7.76</v>
      </c>
      <c r="W908" s="329" t="s">
        <v>2058</v>
      </c>
    </row>
    <row r="909" ht="15.75" customHeight="1">
      <c r="A909" s="134"/>
      <c r="B909" s="134"/>
      <c r="C909" s="134"/>
      <c r="D909" s="554">
        <f>D908</f>
        <v>46213</v>
      </c>
      <c r="E909" s="463" t="str">
        <f>$L$1</f>
        <v>Parker</v>
      </c>
      <c r="F909" s="404">
        <f>IFERROR(AVERAGE(Rankings!$K909:$R909), "TBD")</f>
        <v>3.5</v>
      </c>
      <c r="G909" s="404">
        <f>IFERROR(_xlfn.STDEV.P(Rankings!$K909:$R909), "TBD")</f>
        <v>1.707825128</v>
      </c>
      <c r="H909" s="404">
        <f>IFERROR(AVERAGE(Rankings!$K909, Rankings!$M909:$R909), "TBD")</f>
        <v>3.8</v>
      </c>
      <c r="I909" s="429" t="s">
        <v>2059</v>
      </c>
      <c r="J909" s="429" t="s">
        <v>2060</v>
      </c>
      <c r="K909" s="430">
        <v>1.0</v>
      </c>
      <c r="L909" s="431">
        <v>2.0</v>
      </c>
      <c r="M909" s="431">
        <v>3.0</v>
      </c>
      <c r="N909" s="555"/>
      <c r="O909" s="431">
        <v>5.0</v>
      </c>
      <c r="P909" s="431">
        <v>6.0</v>
      </c>
      <c r="Q909" s="464">
        <v>4.0</v>
      </c>
      <c r="R909" s="465"/>
      <c r="S909" s="466">
        <f>IF(ISTEXT($V909), "TBD", RANK(V909,$V908:$V914))</f>
        <v>4</v>
      </c>
      <c r="T909" s="467">
        <v>1.0</v>
      </c>
      <c r="U909" s="468" t="b">
        <f>Rankings!$S909=Rankings!$T909</f>
        <v>0</v>
      </c>
      <c r="V909" s="553">
        <f>IF(ISTEXT(Rankings!F909), "TBD", (RANK($F909,$F908:$F914) + IF(ISTEXT($H909), 0, (RANK($H909,$H908:$H914)/10)) + (RANK($G909,$G908:$G914)/100)))</f>
        <v>4.43</v>
      </c>
      <c r="W909" s="153"/>
    </row>
    <row r="910" ht="15.75" customHeight="1">
      <c r="A910" s="134"/>
      <c r="B910" s="134"/>
      <c r="C910" s="134"/>
      <c r="D910" s="556">
        <f>D908</f>
        <v>46213</v>
      </c>
      <c r="E910" s="469" t="str">
        <f>$M$1</f>
        <v>Giacomo</v>
      </c>
      <c r="F910" s="408">
        <f>IFERROR(AVERAGE(Rankings!$K910:$R910), "TBD")</f>
        <v>3</v>
      </c>
      <c r="G910" s="408">
        <f>IFERROR(_xlfn.STDEV.P(Rankings!$K910:$R910), "TBD")</f>
        <v>2.236067977</v>
      </c>
      <c r="H910" s="408">
        <f>IFERROR(AVERAGE(Rankings!$K910:$L910, Rankings!$N910:$R910), "TBD")</f>
        <v>3.4</v>
      </c>
      <c r="I910" s="437" t="s">
        <v>2061</v>
      </c>
      <c r="J910" s="437" t="s">
        <v>712</v>
      </c>
      <c r="K910" s="430">
        <v>6.0</v>
      </c>
      <c r="L910" s="431">
        <v>1.0</v>
      </c>
      <c r="M910" s="431">
        <v>1.0</v>
      </c>
      <c r="N910" s="555"/>
      <c r="O910" s="431">
        <v>3.0</v>
      </c>
      <c r="P910" s="431">
        <v>1.0</v>
      </c>
      <c r="Q910" s="464">
        <v>6.0</v>
      </c>
      <c r="R910" s="465"/>
      <c r="S910" s="466">
        <f>IF(ISTEXT($V910), "TBD", RANK(V910,$V908:$V914))</f>
        <v>2</v>
      </c>
      <c r="T910" s="467">
        <v>1.0</v>
      </c>
      <c r="U910" s="468" t="b">
        <f>Rankings!$S910=Rankings!$T910</f>
        <v>0</v>
      </c>
      <c r="V910" s="553">
        <f>IF(ISTEXT(Rankings!F910), "TBD", (RANK($F910,$F908:$F914) + IF(ISTEXT($H910), 0, (RANK($H910,$H908:$H914)/10)) + (RANK($G910,$G908:$G914)/100)))</f>
        <v>6.61</v>
      </c>
      <c r="W910" s="153"/>
    </row>
    <row r="911" ht="15.75" customHeight="1">
      <c r="A911" s="134"/>
      <c r="B911" s="134"/>
      <c r="C911" s="134"/>
      <c r="D911" s="557">
        <f>D908</f>
        <v>46213</v>
      </c>
      <c r="E911" s="470" t="str">
        <f>$N$1</f>
        <v>Rosey</v>
      </c>
      <c r="F911" s="411">
        <f>IFERROR(AVERAGE(Rankings!$K911:$R911), "TBD")</f>
        <v>6.666666667</v>
      </c>
      <c r="G911" s="411">
        <f>IFERROR(_xlfn.STDEV.P(Rankings!$K911:$R911), "TBD")</f>
        <v>0.4714045208</v>
      </c>
      <c r="H911" s="411">
        <f>IFERROR(AVERAGE(Rankings!$K911:$M911, Rankings!$O911:$R911), "TBD")</f>
        <v>6.666666667</v>
      </c>
      <c r="I911" s="438" t="s">
        <v>2062</v>
      </c>
      <c r="J911" s="438" t="s">
        <v>2063</v>
      </c>
      <c r="K911" s="430">
        <v>7.0</v>
      </c>
      <c r="L911" s="431">
        <v>6.0</v>
      </c>
      <c r="M911" s="431">
        <v>6.0</v>
      </c>
      <c r="N911" s="555"/>
      <c r="O911" s="431">
        <v>7.0</v>
      </c>
      <c r="P911" s="431">
        <v>7.0</v>
      </c>
      <c r="Q911" s="464">
        <v>7.0</v>
      </c>
      <c r="R911" s="465"/>
      <c r="S911" s="466">
        <f>IF(ISTEXT($V911), "TBD", RANK(V911,$V908:$V914))</f>
        <v>7</v>
      </c>
      <c r="T911" s="467">
        <v>1.0</v>
      </c>
      <c r="U911" s="468" t="b">
        <f>Rankings!$S911=Rankings!$T911</f>
        <v>0</v>
      </c>
      <c r="V911" s="553">
        <f>IF(ISTEXT(Rankings!F911), "TBD", (RANK($F911,$F908:$F914) + IF(ISTEXT($H911), 0, (RANK($H911,$H908:$H914)/10)) + (RANK($G911,$G908:$G914)/100)))</f>
        <v>1.17</v>
      </c>
      <c r="W911" s="153"/>
    </row>
    <row r="912" ht="15.75" customHeight="1">
      <c r="A912" s="134"/>
      <c r="B912" s="134"/>
      <c r="C912" s="134"/>
      <c r="D912" s="561">
        <f t="shared" ref="D912:D914" si="132">D908</f>
        <v>46213</v>
      </c>
      <c r="E912" s="471" t="str">
        <f>$O$1</f>
        <v>TTAC</v>
      </c>
      <c r="F912" s="414">
        <f>IFERROR(AVERAGE(Rankings!$K912:$R912), "TBD")</f>
        <v>4.333333333</v>
      </c>
      <c r="G912" s="414">
        <f>IFERROR(_xlfn.STDEV.P(Rankings!$K912:$R912), "TBD")</f>
        <v>1.105541597</v>
      </c>
      <c r="H912" s="414">
        <f>IFERROR(AVERAGE(Rankings!$K912:$N912, Rankings!$P912:$R912), "TBD")</f>
        <v>4.8</v>
      </c>
      <c r="I912" s="439" t="s">
        <v>2064</v>
      </c>
      <c r="J912" s="439" t="s">
        <v>2065</v>
      </c>
      <c r="K912" s="430">
        <v>5.0</v>
      </c>
      <c r="L912" s="431">
        <v>5.0</v>
      </c>
      <c r="M912" s="431">
        <v>5.0</v>
      </c>
      <c r="N912" s="555"/>
      <c r="O912" s="431">
        <v>2.0</v>
      </c>
      <c r="P912" s="431">
        <v>4.0</v>
      </c>
      <c r="Q912" s="464">
        <v>5.0</v>
      </c>
      <c r="R912" s="465"/>
      <c r="S912" s="466">
        <f>IF(ISTEXT($V912), "TBD", RANK(V912,$V908:$V914))</f>
        <v>5</v>
      </c>
      <c r="T912" s="467">
        <v>1.0</v>
      </c>
      <c r="U912" s="468" t="b">
        <f>Rankings!$S912=Rankings!$T912</f>
        <v>0</v>
      </c>
      <c r="V912" s="553">
        <f>IF(ISTEXT(Rankings!F912), "TBD", (RANK($F912,$F908:$F914) + IF(ISTEXT($H912), 0, (RANK($H912,$H908:$H914)/10)) + (RANK($G912,$G908:$G914)/100)))</f>
        <v>3.35</v>
      </c>
      <c r="W912" s="153"/>
    </row>
    <row r="913" ht="15.75" customHeight="1">
      <c r="A913" s="134"/>
      <c r="B913" s="134"/>
      <c r="C913" s="134"/>
      <c r="D913" s="562">
        <f t="shared" si="132"/>
        <v>46213</v>
      </c>
      <c r="E913" s="472" t="str">
        <f>$P$1</f>
        <v>Weston</v>
      </c>
      <c r="F913" s="418">
        <f>IFERROR(AVERAGE(Rankings!$K913:$R913), "TBD")</f>
        <v>3.5</v>
      </c>
      <c r="G913" s="418">
        <f>IFERROR(_xlfn.STDEV.P(Rankings!$K913:$R913), "TBD")</f>
        <v>1.258305739</v>
      </c>
      <c r="H913" s="418">
        <f>IFERROR(AVERAGE(Rankings!$K913:$O913, Rankings!$Q913:$R913), "TBD")</f>
        <v>3.8</v>
      </c>
      <c r="I913" s="440" t="s">
        <v>2066</v>
      </c>
      <c r="J913" s="440" t="s">
        <v>2067</v>
      </c>
      <c r="K913" s="430">
        <v>3.0</v>
      </c>
      <c r="L913" s="431">
        <v>3.0</v>
      </c>
      <c r="M913" s="431">
        <v>4.0</v>
      </c>
      <c r="N913" s="555"/>
      <c r="O913" s="431">
        <v>6.0</v>
      </c>
      <c r="P913" s="431">
        <v>2.0</v>
      </c>
      <c r="Q913" s="464">
        <v>3.0</v>
      </c>
      <c r="R913" s="465"/>
      <c r="S913" s="466">
        <f>IF(ISTEXT($V913), "TBD", RANK(V913,$V908:$V914))</f>
        <v>3</v>
      </c>
      <c r="T913" s="467">
        <v>1.0</v>
      </c>
      <c r="U913" s="468" t="b">
        <f>Rankings!$S913=Rankings!$T913</f>
        <v>0</v>
      </c>
      <c r="V913" s="553">
        <f>IF(ISTEXT(Rankings!F913), "TBD", (RANK($F913,$F908:$F914) + IF(ISTEXT($H913), 0, (RANK($H913,$H908:$H914)/10)) + (RANK($G913,$G908:$G914)/100)))</f>
        <v>4.44</v>
      </c>
      <c r="W913" s="153"/>
    </row>
    <row r="914" ht="15.75" customHeight="1">
      <c r="A914" s="189"/>
      <c r="B914" s="189"/>
      <c r="C914" s="189"/>
      <c r="D914" s="563">
        <f t="shared" si="132"/>
        <v>46213</v>
      </c>
      <c r="E914" s="230" t="str">
        <f>$Q$1</f>
        <v>Flocco</v>
      </c>
      <c r="F914" s="474">
        <f>IFERROR(AVERAGE(Rankings!$K914:$R914), "TBD")</f>
        <v>4.833333333</v>
      </c>
      <c r="G914" s="474">
        <f>IFERROR(_xlfn.STDEV.P(Rankings!$K914:$R914), "TBD")</f>
        <v>1.771690969</v>
      </c>
      <c r="H914" s="474">
        <f>IFERROR(AVERAGE(Rankings!$K914:$P914, Rankings!$R914), "TBD")</f>
        <v>5.4</v>
      </c>
      <c r="I914" s="475" t="s">
        <v>379</v>
      </c>
      <c r="J914" s="475" t="s">
        <v>2068</v>
      </c>
      <c r="K914" s="430">
        <v>4.0</v>
      </c>
      <c r="L914" s="431">
        <v>7.0</v>
      </c>
      <c r="M914" s="431">
        <v>7.0</v>
      </c>
      <c r="N914" s="555"/>
      <c r="O914" s="431">
        <v>4.0</v>
      </c>
      <c r="P914" s="431">
        <v>5.0</v>
      </c>
      <c r="Q914" s="464">
        <v>2.0</v>
      </c>
      <c r="R914" s="465"/>
      <c r="S914" s="466">
        <f>IF(ISTEXT($V914), "TBD", RANK(V914,$V908:$V914))</f>
        <v>6</v>
      </c>
      <c r="T914" s="467">
        <v>1.0</v>
      </c>
      <c r="U914" s="468" t="b">
        <f>Rankings!$S914=Rankings!$T914</f>
        <v>0</v>
      </c>
      <c r="V914" s="553">
        <f>IF(ISTEXT(Rankings!F914), "TBD", (RANK($F914,$F908:$F914) + IF(ISTEXT($H914), 0, (RANK($H914,$H908:$H914)/10)) + (RANK($G914,$G908:$G914)/100)))</f>
        <v>2.22</v>
      </c>
      <c r="W914" s="208"/>
    </row>
    <row r="915" ht="15.75" customHeight="1">
      <c r="A915" s="103">
        <v>46216.0</v>
      </c>
      <c r="B915" s="453"/>
      <c r="C915" s="454" t="str">
        <f t="array" ref="C915">INDEX(Rankings!$E915:$E921, MATCH(1, (Rankings!$D915:$D921=$A915)*(Rankings!$U915:$U921=TRUE()), 0))</f>
        <v>Parker</v>
      </c>
      <c r="D915" s="551">
        <f>A915</f>
        <v>46216</v>
      </c>
      <c r="E915" s="455" t="str">
        <f>$K$1</f>
        <v>Logan</v>
      </c>
      <c r="F915" s="400">
        <f>IFERROR(AVERAGE(Rankings!$K915:$R915), "TBD")</f>
        <v>2.666666667</v>
      </c>
      <c r="G915" s="400">
        <f>IFERROR(_xlfn.STDEV.P(Rankings!$K915:$R915), "TBD")</f>
        <v>1.490711985</v>
      </c>
      <c r="H915" s="400">
        <f>IFERROR(AVERAGE(Rankings!$L915:$R915), "TBD")</f>
        <v>2.8</v>
      </c>
      <c r="I915" s="421" t="s">
        <v>2069</v>
      </c>
      <c r="J915" s="421" t="s">
        <v>806</v>
      </c>
      <c r="K915" s="422">
        <v>2.0</v>
      </c>
      <c r="L915" s="423">
        <v>2.0</v>
      </c>
      <c r="M915" s="423">
        <v>2.0</v>
      </c>
      <c r="N915" s="555"/>
      <c r="O915" s="423">
        <v>6.0</v>
      </c>
      <c r="P915" s="423">
        <v>2.0</v>
      </c>
      <c r="Q915" s="456">
        <v>2.0</v>
      </c>
      <c r="R915" s="457"/>
      <c r="S915" s="458">
        <f>IF(ISTEXT($V915), "TBD", RANK(V915,$V915:$V921))</f>
        <v>2</v>
      </c>
      <c r="T915" s="459">
        <v>1.0</v>
      </c>
      <c r="U915" s="460" t="b">
        <f>Rankings!$S915=Rankings!$T915</f>
        <v>0</v>
      </c>
      <c r="V915" s="553">
        <f>IF(ISTEXT(Rankings!F915), "TBD", (RANK($F915,$F915:$F921) + IF(ISTEXT($H915), 0, (RANK($H915,$H915:$H921)/10)) + (RANK($G915,$G915:$G921)/100)))</f>
        <v>5.53</v>
      </c>
      <c r="W915" s="329"/>
    </row>
    <row r="916" ht="15.75" customHeight="1">
      <c r="A916" s="134"/>
      <c r="B916" s="134"/>
      <c r="C916" s="134"/>
      <c r="D916" s="554">
        <f>D915</f>
        <v>46216</v>
      </c>
      <c r="E916" s="463" t="str">
        <f>$L$1</f>
        <v>Parker</v>
      </c>
      <c r="F916" s="404">
        <f>IFERROR(AVERAGE(Rankings!$K916:$R916), "TBD")</f>
        <v>2</v>
      </c>
      <c r="G916" s="404">
        <f>IFERROR(_xlfn.STDEV.P(Rankings!$K916:$R916), "TBD")</f>
        <v>1.414213562</v>
      </c>
      <c r="H916" s="404">
        <f>IFERROR(AVERAGE(Rankings!$K916, Rankings!$M916:$R916), "TBD")</f>
        <v>2.2</v>
      </c>
      <c r="I916" s="429" t="s">
        <v>2070</v>
      </c>
      <c r="J916" s="429" t="s">
        <v>2071</v>
      </c>
      <c r="K916" s="430">
        <v>1.0</v>
      </c>
      <c r="L916" s="431">
        <v>1.0</v>
      </c>
      <c r="M916" s="431">
        <v>4.0</v>
      </c>
      <c r="N916" s="555"/>
      <c r="O916" s="431">
        <v>1.0</v>
      </c>
      <c r="P916" s="431">
        <v>4.0</v>
      </c>
      <c r="Q916" s="464">
        <v>1.0</v>
      </c>
      <c r="R916" s="465"/>
      <c r="S916" s="466">
        <f>IF(ISTEXT($V916), "TBD", RANK(V916,$V915:$V921))</f>
        <v>1</v>
      </c>
      <c r="T916" s="467">
        <v>1.0</v>
      </c>
      <c r="U916" s="468" t="b">
        <f>Rankings!$S916=Rankings!$T916</f>
        <v>1</v>
      </c>
      <c r="V916" s="553">
        <f>IF(ISTEXT(Rankings!F916), "TBD", (RANK($F916,$F915:$F921) + IF(ISTEXT($H916), 0, (RANK($H916,$H915:$H921)/10)) + (RANK($G916,$G915:$G921)/100)))</f>
        <v>6.64</v>
      </c>
      <c r="W916" s="153"/>
    </row>
    <row r="917" ht="15.75" customHeight="1">
      <c r="A917" s="134"/>
      <c r="B917" s="134"/>
      <c r="C917" s="134"/>
      <c r="D917" s="556">
        <f>D915</f>
        <v>46216</v>
      </c>
      <c r="E917" s="469" t="str">
        <f>$M$1</f>
        <v>Giacomo</v>
      </c>
      <c r="F917" s="408">
        <f>IFERROR(AVERAGE(Rankings!$K917:$R917), "TBD")</f>
        <v>4</v>
      </c>
      <c r="G917" s="408">
        <f>IFERROR(_xlfn.STDEV.P(Rankings!$K917:$R917), "TBD")</f>
        <v>1.825741858</v>
      </c>
      <c r="H917" s="408">
        <f>IFERROR(AVERAGE(Rankings!$K917:$L917, Rankings!$N917:$R917), "TBD")</f>
        <v>4.6</v>
      </c>
      <c r="I917" s="437" t="s">
        <v>2072</v>
      </c>
      <c r="J917" s="437" t="s">
        <v>2073</v>
      </c>
      <c r="K917" s="430">
        <v>5.0</v>
      </c>
      <c r="L917" s="431">
        <v>3.0</v>
      </c>
      <c r="M917" s="431">
        <v>1.0</v>
      </c>
      <c r="N917" s="555"/>
      <c r="O917" s="431">
        <v>3.0</v>
      </c>
      <c r="P917" s="431">
        <v>6.0</v>
      </c>
      <c r="Q917" s="464">
        <v>6.0</v>
      </c>
      <c r="R917" s="465"/>
      <c r="S917" s="466">
        <f>IF(ISTEXT($V917), "TBD", RANK(V917,$V915:$V921))</f>
        <v>4</v>
      </c>
      <c r="T917" s="467">
        <v>1.0</v>
      </c>
      <c r="U917" s="468" t="b">
        <f>Rankings!$S917=Rankings!$T917</f>
        <v>0</v>
      </c>
      <c r="V917" s="553">
        <f>IF(ISTEXT(Rankings!F917), "TBD", (RANK($F917,$F915:$F921) + IF(ISTEXT($H917), 0, (RANK($H917,$H915:$H921)/10)) + (RANK($G917,$G915:$G921)/100)))</f>
        <v>3.11</v>
      </c>
      <c r="W917" s="153"/>
    </row>
    <row r="918" ht="15.75" customHeight="1">
      <c r="A918" s="134"/>
      <c r="B918" s="134"/>
      <c r="C918" s="134"/>
      <c r="D918" s="557">
        <f>D915</f>
        <v>46216</v>
      </c>
      <c r="E918" s="470" t="str">
        <f>$N$1</f>
        <v>Rosey</v>
      </c>
      <c r="F918" s="411" t="str">
        <f>IFERROR(AVERAGE(Rankings!$K918:$R918), "TBD")</f>
        <v>TBD</v>
      </c>
      <c r="G918" s="411" t="str">
        <f>IFERROR(_xlfn.STDEV.P(Rankings!$K918:$R918), "TBD")</f>
        <v>TBD</v>
      </c>
      <c r="H918" s="411" t="str">
        <f>IFERROR(AVERAGE(Rankings!$K918:$M918, Rankings!$O918:$R918), "TBD")</f>
        <v>TBD</v>
      </c>
      <c r="I918" s="438"/>
      <c r="J918" s="438"/>
      <c r="K918" s="565"/>
      <c r="L918" s="431"/>
      <c r="M918" s="431" t="s">
        <v>2074</v>
      </c>
      <c r="N918" s="555"/>
      <c r="O918" s="431" t="s">
        <v>1697</v>
      </c>
      <c r="P918" s="431" t="s">
        <v>1698</v>
      </c>
      <c r="Q918" s="464"/>
      <c r="R918" s="465"/>
      <c r="S918" s="466" t="str">
        <f>IF(ISTEXT($V918), "TBD", RANK(V918,$V915:$V921))</f>
        <v>TBD</v>
      </c>
      <c r="T918" s="467">
        <v>1.0</v>
      </c>
      <c r="U918" s="468" t="b">
        <f>Rankings!$S918=Rankings!$T918</f>
        <v>0</v>
      </c>
      <c r="V918" s="553" t="str">
        <f>IF(ISTEXT(Rankings!F918), "TBD", (RANK($F918,$F915:$F921) + IF(ISTEXT($H918), 0, (RANK($H918,$H915:$H921)/10)) + (RANK($G918,$G915:$G921)/100)))</f>
        <v>TBD</v>
      </c>
      <c r="W918" s="153"/>
    </row>
    <row r="919" ht="15.75" customHeight="1">
      <c r="A919" s="134"/>
      <c r="B919" s="134"/>
      <c r="C919" s="134"/>
      <c r="D919" s="561">
        <f t="shared" ref="D919:D921" si="133">D915</f>
        <v>46216</v>
      </c>
      <c r="E919" s="471" t="str">
        <f>$O$1</f>
        <v>TTAC</v>
      </c>
      <c r="F919" s="414">
        <f>IFERROR(AVERAGE(Rankings!$K919:$R919), "TBD")</f>
        <v>4.5</v>
      </c>
      <c r="G919" s="414">
        <f>IFERROR(_xlfn.STDEV.P(Rankings!$K919:$R919), "TBD")</f>
        <v>0.9574271078</v>
      </c>
      <c r="H919" s="414">
        <f>IFERROR(AVERAGE(Rankings!$K919:$N919, Rankings!$P919:$R919), "TBD")</f>
        <v>4.4</v>
      </c>
      <c r="I919" s="439" t="s">
        <v>2075</v>
      </c>
      <c r="J919" s="439" t="s">
        <v>2076</v>
      </c>
      <c r="K919" s="430">
        <v>4.0</v>
      </c>
      <c r="L919" s="431">
        <v>4.0</v>
      </c>
      <c r="M919" s="431">
        <v>6.0</v>
      </c>
      <c r="N919" s="555"/>
      <c r="O919" s="431">
        <v>5.0</v>
      </c>
      <c r="P919" s="431">
        <v>3.0</v>
      </c>
      <c r="Q919" s="464">
        <v>5.0</v>
      </c>
      <c r="R919" s="465"/>
      <c r="S919" s="466">
        <f>IF(ISTEXT($V919), "TBD", RANK(V919,$V915:$V921))</f>
        <v>6</v>
      </c>
      <c r="T919" s="467">
        <v>1.0</v>
      </c>
      <c r="U919" s="468" t="b">
        <f>Rankings!$S919=Rankings!$T919</f>
        <v>0</v>
      </c>
      <c r="V919" s="553">
        <f>IF(ISTEXT(Rankings!F919), "TBD", (RANK($F919,$F915:$F921) + IF(ISTEXT($H919), 0, (RANK($H919,$H915:$H921)/10)) + (RANK($G919,$G915:$G921)/100)))</f>
        <v>1.36</v>
      </c>
      <c r="W919" s="153"/>
    </row>
    <row r="920" ht="15.75" customHeight="1">
      <c r="A920" s="134"/>
      <c r="B920" s="134"/>
      <c r="C920" s="134"/>
      <c r="D920" s="562">
        <f t="shared" si="133"/>
        <v>46216</v>
      </c>
      <c r="E920" s="472" t="str">
        <f>$P$1</f>
        <v>Weston</v>
      </c>
      <c r="F920" s="418">
        <f>IFERROR(AVERAGE(Rankings!$K920:$R920), "TBD")</f>
        <v>3.5</v>
      </c>
      <c r="G920" s="418">
        <f>IFERROR(_xlfn.STDEV.P(Rankings!$K920:$R920), "TBD")</f>
        <v>1.707825128</v>
      </c>
      <c r="H920" s="418">
        <f>IFERROR(AVERAGE(Rankings!$K920:$O920, Rankings!$Q920:$R920), "TBD")</f>
        <v>4</v>
      </c>
      <c r="I920" s="440" t="s">
        <v>2077</v>
      </c>
      <c r="J920" s="478" t="s">
        <v>2078</v>
      </c>
      <c r="K920" s="430">
        <v>6.0</v>
      </c>
      <c r="L920" s="431">
        <v>5.0</v>
      </c>
      <c r="M920" s="431">
        <v>3.0</v>
      </c>
      <c r="N920" s="555"/>
      <c r="O920" s="431">
        <v>2.0</v>
      </c>
      <c r="P920" s="431">
        <v>1.0</v>
      </c>
      <c r="Q920" s="464">
        <v>4.0</v>
      </c>
      <c r="R920" s="465"/>
      <c r="S920" s="466">
        <f>IF(ISTEXT($V920), "TBD", RANK(V920,$V915:$V921))</f>
        <v>3</v>
      </c>
      <c r="T920" s="467">
        <v>1.0</v>
      </c>
      <c r="U920" s="468" t="b">
        <f>Rankings!$S920=Rankings!$T920</f>
        <v>0</v>
      </c>
      <c r="V920" s="553">
        <f>IF(ISTEXT(Rankings!F920), "TBD", (RANK($F920,$F915:$F921) + IF(ISTEXT($H920), 0, (RANK($H920,$H915:$H921)/10)) + (RANK($G920,$G915:$G921)/100)))</f>
        <v>4.42</v>
      </c>
      <c r="W920" s="153"/>
    </row>
    <row r="921" ht="15.75" customHeight="1">
      <c r="A921" s="189"/>
      <c r="B921" s="189"/>
      <c r="C921" s="189"/>
      <c r="D921" s="563">
        <f t="shared" si="133"/>
        <v>46216</v>
      </c>
      <c r="E921" s="230" t="str">
        <f>$Q$1</f>
        <v>Flocco</v>
      </c>
      <c r="F921" s="474">
        <f>IFERROR(AVERAGE(Rankings!$K921:$R921), "TBD")</f>
        <v>4.333333333</v>
      </c>
      <c r="G921" s="474">
        <f>IFERROR(_xlfn.STDEV.P(Rankings!$K921:$R921), "TBD")</f>
        <v>1.105541597</v>
      </c>
      <c r="H921" s="474">
        <f>IFERROR(AVERAGE(Rankings!$K921:$P921, Rankings!$R921), "TBD")</f>
        <v>4.6</v>
      </c>
      <c r="I921" s="475" t="s">
        <v>2079</v>
      </c>
      <c r="J921" s="475" t="s">
        <v>2080</v>
      </c>
      <c r="K921" s="430">
        <v>3.0</v>
      </c>
      <c r="L921" s="431">
        <v>6.0</v>
      </c>
      <c r="M921" s="431">
        <v>5.0</v>
      </c>
      <c r="N921" s="555"/>
      <c r="O921" s="431">
        <v>4.0</v>
      </c>
      <c r="P921" s="431">
        <v>5.0</v>
      </c>
      <c r="Q921" s="464">
        <v>3.0</v>
      </c>
      <c r="R921" s="465"/>
      <c r="S921" s="466">
        <f>IF(ISTEXT($V921), "TBD", RANK(V921,$V915:$V921))</f>
        <v>5</v>
      </c>
      <c r="T921" s="467">
        <v>1.0</v>
      </c>
      <c r="U921" s="468" t="b">
        <f>Rankings!$S921=Rankings!$T921</f>
        <v>0</v>
      </c>
      <c r="V921" s="553">
        <f>IF(ISTEXT(Rankings!F921), "TBD", (RANK($F921,$F915:$F921) + IF(ISTEXT($H921), 0, (RANK($H921,$H915:$H921)/10)) + (RANK($G921,$G915:$G921)/100)))</f>
        <v>2.15</v>
      </c>
      <c r="W921" s="208"/>
    </row>
    <row r="922" ht="15.75" customHeight="1">
      <c r="A922" s="103">
        <v>46218.0</v>
      </c>
      <c r="B922" s="453"/>
      <c r="C922" s="454" t="str">
        <f t="array" ref="C922">INDEX(Rankings!$E922:$E928, MATCH(1, (Rankings!$D922:$D928=$A922)*(Rankings!$U922:$U928=TRUE()), 0))</f>
        <v>Weston</v>
      </c>
      <c r="D922" s="551">
        <f>A922</f>
        <v>46218</v>
      </c>
      <c r="E922" s="455" t="str">
        <f>$K$1</f>
        <v>Logan</v>
      </c>
      <c r="F922" s="400">
        <f>IFERROR(AVERAGE(Rankings!$K922:$R922), "TBD")</f>
        <v>5.166666667</v>
      </c>
      <c r="G922" s="400">
        <f>IFERROR(_xlfn.STDEV.P(Rankings!$K922:$R922), "TBD")</f>
        <v>1.863389981</v>
      </c>
      <c r="H922" s="400">
        <f>IFERROR(AVERAGE(Rankings!$L922:$R922), "TBD")</f>
        <v>6</v>
      </c>
      <c r="I922" s="421" t="s">
        <v>2081</v>
      </c>
      <c r="J922" s="421" t="s">
        <v>2082</v>
      </c>
      <c r="K922" s="422">
        <v>1.0</v>
      </c>
      <c r="L922" s="423">
        <v>6.0</v>
      </c>
      <c r="M922" s="423">
        <v>6.0</v>
      </c>
      <c r="N922" s="555"/>
      <c r="O922" s="423">
        <v>6.0</v>
      </c>
      <c r="P922" s="423">
        <v>6.0</v>
      </c>
      <c r="Q922" s="456">
        <v>6.0</v>
      </c>
      <c r="R922" s="457"/>
      <c r="S922" s="458">
        <f>IF(ISTEXT($V922), "TBD", RANK(V922,$V922:$V928))</f>
        <v>6</v>
      </c>
      <c r="T922" s="459">
        <v>1.0</v>
      </c>
      <c r="U922" s="460" t="b">
        <f>Rankings!$S922=Rankings!$T922</f>
        <v>0</v>
      </c>
      <c r="V922" s="553">
        <f>IF(ISTEXT(Rankings!F922), "TBD", (RANK($F922,$F922:$F928) + IF(ISTEXT($H922), 0, (RANK($H922,$H922:$H928)/10)) + (RANK($G922,$G922:$G928)/100)))</f>
        <v>1.11</v>
      </c>
      <c r="W922" s="329" t="s">
        <v>2083</v>
      </c>
    </row>
    <row r="923" ht="15.75" customHeight="1">
      <c r="A923" s="134"/>
      <c r="B923" s="134"/>
      <c r="C923" s="134"/>
      <c r="D923" s="554">
        <f>D922</f>
        <v>46218</v>
      </c>
      <c r="E923" s="463" t="str">
        <f>$L$1</f>
        <v>Parker</v>
      </c>
      <c r="F923" s="404">
        <f>IFERROR(AVERAGE(Rankings!$K923:$R923), "TBD")</f>
        <v>2.833333333</v>
      </c>
      <c r="G923" s="404">
        <f>IFERROR(_xlfn.STDEV.P(Rankings!$K923:$R923), "TBD")</f>
        <v>1.213351648</v>
      </c>
      <c r="H923" s="404">
        <f>IFERROR(AVERAGE(Rankings!$K923, Rankings!$M923:$R923), "TBD")</f>
        <v>3</v>
      </c>
      <c r="I923" s="429" t="s">
        <v>2084</v>
      </c>
      <c r="J923" s="429" t="s">
        <v>1176</v>
      </c>
      <c r="K923" s="430">
        <v>5.0</v>
      </c>
      <c r="L923" s="431">
        <v>2.0</v>
      </c>
      <c r="M923" s="431">
        <v>3.0</v>
      </c>
      <c r="N923" s="555"/>
      <c r="O923" s="431">
        <v>3.0</v>
      </c>
      <c r="P923" s="431">
        <v>3.0</v>
      </c>
      <c r="Q923" s="464">
        <v>1.0</v>
      </c>
      <c r="R923" s="465"/>
      <c r="S923" s="466">
        <f>IF(ISTEXT($V923), "TBD", RANK(V923,$V922:$V928))</f>
        <v>3</v>
      </c>
      <c r="T923" s="467">
        <v>1.0</v>
      </c>
      <c r="U923" s="468" t="b">
        <f>Rankings!$S923=Rankings!$T923</f>
        <v>0</v>
      </c>
      <c r="V923" s="553">
        <f>IF(ISTEXT(Rankings!F923), "TBD", (RANK($F923,$F922:$F928) + IF(ISTEXT($H923), 0, (RANK($H923,$H922:$H928)/10)) + (RANK($G923,$G922:$G928)/100)))</f>
        <v>4.44</v>
      </c>
      <c r="W923" s="153"/>
    </row>
    <row r="924" ht="15.75" customHeight="1">
      <c r="A924" s="134"/>
      <c r="B924" s="134"/>
      <c r="C924" s="134"/>
      <c r="D924" s="556">
        <f>D922</f>
        <v>46218</v>
      </c>
      <c r="E924" s="469" t="str">
        <f>$M$1</f>
        <v>Giacomo</v>
      </c>
      <c r="F924" s="408">
        <f>IFERROR(AVERAGE(Rankings!$K924:$R924), "TBD")</f>
        <v>2.833333333</v>
      </c>
      <c r="G924" s="408">
        <f>IFERROR(_xlfn.STDEV.P(Rankings!$K924:$R924), "TBD")</f>
        <v>1.067187373</v>
      </c>
      <c r="H924" s="408">
        <f>IFERROR(AVERAGE(Rankings!$K924:$L924, Rankings!$N924:$R924), "TBD")</f>
        <v>3</v>
      </c>
      <c r="I924" s="437" t="s">
        <v>2085</v>
      </c>
      <c r="J924" s="437" t="s">
        <v>2086</v>
      </c>
      <c r="K924" s="430">
        <v>3.0</v>
      </c>
      <c r="L924" s="431">
        <v>3.0</v>
      </c>
      <c r="M924" s="431">
        <v>2.0</v>
      </c>
      <c r="N924" s="555"/>
      <c r="O924" s="431">
        <v>4.0</v>
      </c>
      <c r="P924" s="431">
        <v>1.0</v>
      </c>
      <c r="Q924" s="464">
        <v>4.0</v>
      </c>
      <c r="R924" s="465"/>
      <c r="S924" s="466">
        <f>IF(ISTEXT($V924), "TBD", RANK(V924,$V922:$V928))</f>
        <v>2</v>
      </c>
      <c r="T924" s="467">
        <v>1.0</v>
      </c>
      <c r="U924" s="468" t="b">
        <f>Rankings!$S924=Rankings!$T924</f>
        <v>0</v>
      </c>
      <c r="V924" s="553">
        <f>IF(ISTEXT(Rankings!F924), "TBD", (RANK($F924,$F922:$F928) + IF(ISTEXT($H924), 0, (RANK($H924,$H922:$H928)/10)) + (RANK($G924,$G922:$G928)/100)))</f>
        <v>4.45</v>
      </c>
      <c r="W924" s="153"/>
    </row>
    <row r="925" ht="15.75" customHeight="1">
      <c r="A925" s="134"/>
      <c r="B925" s="134"/>
      <c r="C925" s="134"/>
      <c r="D925" s="557">
        <f>D922</f>
        <v>46218</v>
      </c>
      <c r="E925" s="470" t="str">
        <f>$N$1</f>
        <v>Rosey</v>
      </c>
      <c r="F925" s="411" t="str">
        <f>IFERROR(AVERAGE(Rankings!$K925:$R925), "TBD")</f>
        <v>TBD</v>
      </c>
      <c r="G925" s="411" t="str">
        <f>IFERROR(_xlfn.STDEV.P(Rankings!$K925:$R925), "TBD")</f>
        <v>TBD</v>
      </c>
      <c r="H925" s="411" t="str">
        <f>IFERROR(AVERAGE(Rankings!$K925:$M925, Rankings!$O925:$R925), "TBD")</f>
        <v>TBD</v>
      </c>
      <c r="I925" s="438"/>
      <c r="J925" s="438"/>
      <c r="K925" s="565"/>
      <c r="L925" s="431"/>
      <c r="M925" s="431" t="s">
        <v>2087</v>
      </c>
      <c r="N925" s="555"/>
      <c r="O925" s="431" t="s">
        <v>1697</v>
      </c>
      <c r="P925" s="431" t="s">
        <v>1698</v>
      </c>
      <c r="Q925" s="464" t="s">
        <v>1766</v>
      </c>
      <c r="R925" s="465"/>
      <c r="S925" s="466" t="str">
        <f>IF(ISTEXT($V925), "TBD", RANK(V925,$V922:$V928))</f>
        <v>TBD</v>
      </c>
      <c r="T925" s="467">
        <v>1.0</v>
      </c>
      <c r="U925" s="468" t="b">
        <f>Rankings!$S925=Rankings!$T925</f>
        <v>0</v>
      </c>
      <c r="V925" s="553" t="str">
        <f>IF(ISTEXT(Rankings!F925), "TBD", (RANK($F925,$F922:$F928) + IF(ISTEXT($H925), 0, (RANK($H925,$H922:$H928)/10)) + (RANK($G925,$G922:$G928)/100)))</f>
        <v>TBD</v>
      </c>
      <c r="W925" s="153"/>
    </row>
    <row r="926" ht="15.75" customHeight="1">
      <c r="A926" s="134"/>
      <c r="B926" s="134"/>
      <c r="C926" s="134"/>
      <c r="D926" s="561">
        <f t="shared" ref="D926:D928" si="134">D922</f>
        <v>46218</v>
      </c>
      <c r="E926" s="471" t="str">
        <f>$O$1</f>
        <v>TTAC</v>
      </c>
      <c r="F926" s="414">
        <f>IFERROR(AVERAGE(Rankings!$K926:$R926), "TBD")</f>
        <v>3.333333333</v>
      </c>
      <c r="G926" s="414">
        <f>IFERROR(_xlfn.STDEV.P(Rankings!$K926:$R926), "TBD")</f>
        <v>1.374368542</v>
      </c>
      <c r="H926" s="414">
        <f>IFERROR(AVERAGE(Rankings!$K926:$N926, Rankings!$P926:$R926), "TBD")</f>
        <v>3.8</v>
      </c>
      <c r="I926" s="439" t="s">
        <v>2088</v>
      </c>
      <c r="J926" s="439" t="s">
        <v>2089</v>
      </c>
      <c r="K926" s="430">
        <v>4.0</v>
      </c>
      <c r="L926" s="431">
        <v>4.0</v>
      </c>
      <c r="M926" s="431">
        <v>5.0</v>
      </c>
      <c r="N926" s="555"/>
      <c r="O926" s="431">
        <v>1.0</v>
      </c>
      <c r="P926" s="431">
        <v>4.0</v>
      </c>
      <c r="Q926" s="464">
        <v>2.0</v>
      </c>
      <c r="R926" s="465"/>
      <c r="S926" s="466">
        <f>IF(ISTEXT($V926), "TBD", RANK(V926,$V922:$V928))</f>
        <v>4</v>
      </c>
      <c r="T926" s="467">
        <v>1.0</v>
      </c>
      <c r="U926" s="468" t="b">
        <f>Rankings!$S926=Rankings!$T926</f>
        <v>0</v>
      </c>
      <c r="V926" s="553">
        <f>IF(ISTEXT(Rankings!F926), "TBD", (RANK($F926,$F922:$F928) + IF(ISTEXT($H926), 0, (RANK($H926,$H922:$H928)/10)) + (RANK($G926,$G922:$G928)/100)))</f>
        <v>3.32</v>
      </c>
      <c r="W926" s="153"/>
    </row>
    <row r="927" ht="15.75" customHeight="1">
      <c r="A927" s="134"/>
      <c r="B927" s="134"/>
      <c r="C927" s="134"/>
      <c r="D927" s="562">
        <f t="shared" si="134"/>
        <v>46218</v>
      </c>
      <c r="E927" s="472" t="str">
        <f>$P$1</f>
        <v>Weston</v>
      </c>
      <c r="F927" s="418">
        <f>IFERROR(AVERAGE(Rankings!$K927:$R927), "TBD")</f>
        <v>2.166666667</v>
      </c>
      <c r="G927" s="418">
        <f>IFERROR(_xlfn.STDEV.P(Rankings!$K927:$R927), "TBD")</f>
        <v>1.343709625</v>
      </c>
      <c r="H927" s="418">
        <f>IFERROR(AVERAGE(Rankings!$K927:$O927, Rankings!$Q927:$R927), "TBD")</f>
        <v>2.2</v>
      </c>
      <c r="I927" s="440" t="s">
        <v>2090</v>
      </c>
      <c r="J927" s="440" t="s">
        <v>2091</v>
      </c>
      <c r="K927" s="430">
        <v>2.0</v>
      </c>
      <c r="L927" s="431">
        <v>1.0</v>
      </c>
      <c r="M927" s="431">
        <v>1.0</v>
      </c>
      <c r="N927" s="555"/>
      <c r="O927" s="431">
        <v>2.0</v>
      </c>
      <c r="P927" s="431">
        <v>2.0</v>
      </c>
      <c r="Q927" s="464">
        <v>5.0</v>
      </c>
      <c r="R927" s="465"/>
      <c r="S927" s="466">
        <f>IF(ISTEXT($V927), "TBD", RANK(V927,$V922:$V928))</f>
        <v>1</v>
      </c>
      <c r="T927" s="467">
        <v>1.0</v>
      </c>
      <c r="U927" s="468" t="b">
        <f>Rankings!$S927=Rankings!$T927</f>
        <v>1</v>
      </c>
      <c r="V927" s="553">
        <f>IF(ISTEXT(Rankings!F927), "TBD", (RANK($F927,$F922:$F928) + IF(ISTEXT($H927), 0, (RANK($H927,$H922:$H928)/10)) + (RANK($G927,$G922:$G928)/100)))</f>
        <v>6.63</v>
      </c>
      <c r="W927" s="153"/>
    </row>
    <row r="928" ht="15.75" customHeight="1">
      <c r="A928" s="189"/>
      <c r="B928" s="189"/>
      <c r="C928" s="189"/>
      <c r="D928" s="563">
        <f t="shared" si="134"/>
        <v>46218</v>
      </c>
      <c r="E928" s="230" t="str">
        <f>$Q$1</f>
        <v>Flocco</v>
      </c>
      <c r="F928" s="474">
        <f>IFERROR(AVERAGE(Rankings!$K928:$R928), "TBD")</f>
        <v>4.666666667</v>
      </c>
      <c r="G928" s="474">
        <f>IFERROR(_xlfn.STDEV.P(Rankings!$K928:$R928), "TBD")</f>
        <v>0.9428090416</v>
      </c>
      <c r="H928" s="474">
        <f>IFERROR(AVERAGE(Rankings!$K928:$P928, Rankings!$R928), "TBD")</f>
        <v>5</v>
      </c>
      <c r="I928" s="475" t="s">
        <v>2092</v>
      </c>
      <c r="J928" s="475" t="s">
        <v>2093</v>
      </c>
      <c r="K928" s="430">
        <v>6.0</v>
      </c>
      <c r="L928" s="431">
        <v>5.0</v>
      </c>
      <c r="M928" s="431">
        <v>4.0</v>
      </c>
      <c r="N928" s="555"/>
      <c r="O928" s="431">
        <v>5.0</v>
      </c>
      <c r="P928" s="431">
        <v>5.0</v>
      </c>
      <c r="Q928" s="464">
        <v>3.0</v>
      </c>
      <c r="R928" s="465"/>
      <c r="S928" s="466">
        <f>IF(ISTEXT($V928), "TBD", RANK(V928,$V922:$V928))</f>
        <v>5</v>
      </c>
      <c r="T928" s="467">
        <v>1.0</v>
      </c>
      <c r="U928" s="468" t="b">
        <f>Rankings!$S928=Rankings!$T928</f>
        <v>0</v>
      </c>
      <c r="V928" s="553">
        <f>IF(ISTEXT(Rankings!F928), "TBD", (RANK($F928,$F922:$F928) + IF(ISTEXT($H928), 0, (RANK($H928,$H922:$H928)/10)) + (RANK($G928,$G922:$G928)/100)))</f>
        <v>2.26</v>
      </c>
      <c r="W928" s="208"/>
    </row>
    <row r="929" ht="15.75" customHeight="1">
      <c r="A929" s="103">
        <v>46220.0</v>
      </c>
      <c r="B929" s="453"/>
      <c r="C929" s="454" t="str">
        <f t="array" ref="C929">INDEX(Rankings!$E929:$E935, MATCH(1, (Rankings!$D929:$D935=$A929)*(Rankings!$U929:$U935=TRUE()), 0))</f>
        <v>Giacomo</v>
      </c>
      <c r="D929" s="551">
        <f>A929</f>
        <v>46220</v>
      </c>
      <c r="E929" s="455" t="str">
        <f>$K$1</f>
        <v>Logan</v>
      </c>
      <c r="F929" s="400">
        <f>IFERROR(AVERAGE(Rankings!$K929:$R929), "TBD")</f>
        <v>5.333333333</v>
      </c>
      <c r="G929" s="400">
        <f>IFERROR(_xlfn.STDEV.P(Rankings!$K929:$R929), "TBD")</f>
        <v>1.105541597</v>
      </c>
      <c r="H929" s="400">
        <f>IFERROR(AVERAGE(Rankings!$L929:$R929), "TBD")</f>
        <v>5.8</v>
      </c>
      <c r="I929" s="421" t="s">
        <v>2094</v>
      </c>
      <c r="J929" s="421" t="s">
        <v>2095</v>
      </c>
      <c r="K929" s="422">
        <v>3.0</v>
      </c>
      <c r="L929" s="423">
        <v>6.0</v>
      </c>
      <c r="M929" s="423">
        <v>6.0</v>
      </c>
      <c r="N929" s="555"/>
      <c r="O929" s="423">
        <v>5.0</v>
      </c>
      <c r="P929" s="423">
        <v>6.0</v>
      </c>
      <c r="Q929" s="456">
        <v>6.0</v>
      </c>
      <c r="R929" s="457"/>
      <c r="S929" s="458">
        <f>IF(ISTEXT($V929), "TBD", RANK(V929,$V929:$V935))</f>
        <v>6</v>
      </c>
      <c r="T929" s="459">
        <v>1.0</v>
      </c>
      <c r="U929" s="460" t="b">
        <f>Rankings!$S929=Rankings!$T929</f>
        <v>0</v>
      </c>
      <c r="V929" s="553">
        <f>IF(ISTEXT(Rankings!F929), "TBD", (RANK($F929,$F929:$F935) + IF(ISTEXT($H929), 0, (RANK($H929,$H929:$H935)/10)) + (RANK($G929,$G929:$G935)/100)))</f>
        <v>1.13</v>
      </c>
      <c r="W929" s="329" t="s">
        <v>2096</v>
      </c>
    </row>
    <row r="930" ht="15.75" customHeight="1">
      <c r="A930" s="134"/>
      <c r="B930" s="134"/>
      <c r="C930" s="134"/>
      <c r="D930" s="554">
        <f>D929</f>
        <v>46220</v>
      </c>
      <c r="E930" s="463" t="str">
        <f>$L$1</f>
        <v>Parker</v>
      </c>
      <c r="F930" s="404">
        <f>IFERROR(AVERAGE(Rankings!$K930:$R930), "TBD")</f>
        <v>4.333333333</v>
      </c>
      <c r="G930" s="404">
        <f>IFERROR(_xlfn.STDEV.P(Rankings!$K930:$R930), "TBD")</f>
        <v>1.247219129</v>
      </c>
      <c r="H930" s="404">
        <f>IFERROR(AVERAGE(Rankings!$K930, Rankings!$M930:$R930), "TBD")</f>
        <v>4.2</v>
      </c>
      <c r="I930" s="429" t="s">
        <v>2097</v>
      </c>
      <c r="J930" s="429" t="s">
        <v>2098</v>
      </c>
      <c r="K930" s="430">
        <v>4.0</v>
      </c>
      <c r="L930" s="431">
        <v>5.0</v>
      </c>
      <c r="M930" s="431">
        <v>2.0</v>
      </c>
      <c r="N930" s="555"/>
      <c r="O930" s="431">
        <v>6.0</v>
      </c>
      <c r="P930" s="431">
        <v>5.0</v>
      </c>
      <c r="Q930" s="464">
        <v>4.0</v>
      </c>
      <c r="R930" s="465"/>
      <c r="S930" s="466">
        <f>IF(ISTEXT($V930), "TBD", RANK(V930,$V929:$V935))</f>
        <v>5</v>
      </c>
      <c r="T930" s="467">
        <v>1.0</v>
      </c>
      <c r="U930" s="468" t="b">
        <f>Rankings!$S930=Rankings!$T930</f>
        <v>0</v>
      </c>
      <c r="V930" s="553">
        <f>IF(ISTEXT(Rankings!F930), "TBD", (RANK($F930,$F929:$F935) + IF(ISTEXT($H930), 0, (RANK($H930,$H929:$H935)/10)) + (RANK($G930,$G929:$G935)/100)))</f>
        <v>2.32</v>
      </c>
      <c r="W930" s="153"/>
    </row>
    <row r="931" ht="15.75" customHeight="1">
      <c r="A931" s="134"/>
      <c r="B931" s="134"/>
      <c r="C931" s="134"/>
      <c r="D931" s="556">
        <f>D929</f>
        <v>46220</v>
      </c>
      <c r="E931" s="469" t="str">
        <f>$M$1</f>
        <v>Giacomo</v>
      </c>
      <c r="F931" s="408">
        <f>IFERROR(AVERAGE(Rankings!$K931:$R931), "TBD")</f>
        <v>1</v>
      </c>
      <c r="G931" s="408">
        <f>IFERROR(_xlfn.STDEV.P(Rankings!$K931:$R931), "TBD")</f>
        <v>0</v>
      </c>
      <c r="H931" s="408">
        <f>IFERROR(AVERAGE(Rankings!$K931:$L931, Rankings!$N931:$R931), "TBD")</f>
        <v>1</v>
      </c>
      <c r="I931" s="437" t="s">
        <v>2099</v>
      </c>
      <c r="J931" s="437" t="s">
        <v>2100</v>
      </c>
      <c r="K931" s="430">
        <v>1.0</v>
      </c>
      <c r="L931" s="431">
        <v>1.0</v>
      </c>
      <c r="M931" s="431">
        <v>1.0</v>
      </c>
      <c r="N931" s="555"/>
      <c r="O931" s="431">
        <v>1.0</v>
      </c>
      <c r="P931" s="431">
        <v>1.0</v>
      </c>
      <c r="Q931" s="464">
        <v>1.0</v>
      </c>
      <c r="R931" s="465"/>
      <c r="S931" s="466">
        <f>IF(ISTEXT($V931), "TBD", RANK(V931,$V929:$V935))</f>
        <v>1</v>
      </c>
      <c r="T931" s="467">
        <v>1.0</v>
      </c>
      <c r="U931" s="468" t="b">
        <f>Rankings!$S931=Rankings!$T931</f>
        <v>1</v>
      </c>
      <c r="V931" s="553">
        <f>IF(ISTEXT(Rankings!F931), "TBD", (RANK($F931,$F929:$F935) + IF(ISTEXT($H931), 0, (RANK($H931,$H929:$H935)/10)) + (RANK($G931,$G929:$G935)/100)))</f>
        <v>6.66</v>
      </c>
      <c r="W931" s="153"/>
    </row>
    <row r="932" ht="15.75" customHeight="1">
      <c r="A932" s="134"/>
      <c r="B932" s="134"/>
      <c r="C932" s="134"/>
      <c r="D932" s="557">
        <f>D929</f>
        <v>46220</v>
      </c>
      <c r="E932" s="470" t="str">
        <f>$N$1</f>
        <v>Rosey</v>
      </c>
      <c r="F932" s="411" t="str">
        <f>IFERROR(AVERAGE(Rankings!$K932:$R932), "TBD")</f>
        <v>TBD</v>
      </c>
      <c r="G932" s="411" t="str">
        <f>IFERROR(_xlfn.STDEV.P(Rankings!$K932:$R932), "TBD")</f>
        <v>TBD</v>
      </c>
      <c r="H932" s="411" t="str">
        <f>IFERROR(AVERAGE(Rankings!$K932:$M932, Rankings!$O932:$R932), "TBD")</f>
        <v>TBD</v>
      </c>
      <c r="I932" s="438"/>
      <c r="J932" s="438"/>
      <c r="K932" s="430"/>
      <c r="L932" s="566"/>
      <c r="M932" s="431" t="s">
        <v>2101</v>
      </c>
      <c r="N932" s="555"/>
      <c r="O932" s="431" t="s">
        <v>1697</v>
      </c>
      <c r="P932" s="431" t="s">
        <v>1698</v>
      </c>
      <c r="Q932" s="464" t="s">
        <v>1766</v>
      </c>
      <c r="R932" s="465"/>
      <c r="S932" s="466" t="str">
        <f>IF(ISTEXT($V932), "TBD", RANK(V932,$V929:$V935))</f>
        <v>TBD</v>
      </c>
      <c r="T932" s="467">
        <v>1.0</v>
      </c>
      <c r="U932" s="468" t="b">
        <f>Rankings!$S932=Rankings!$T932</f>
        <v>0</v>
      </c>
      <c r="V932" s="553" t="str">
        <f>IF(ISTEXT(Rankings!F932), "TBD", (RANK($F932,$F929:$F935) + IF(ISTEXT($H932), 0, (RANK($H932,$H929:$H935)/10)) + (RANK($G932,$G929:$G935)/100)))</f>
        <v>TBD</v>
      </c>
      <c r="W932" s="153"/>
    </row>
    <row r="933" ht="15.75" customHeight="1">
      <c r="A933" s="134"/>
      <c r="B933" s="134"/>
      <c r="C933" s="134"/>
      <c r="D933" s="561">
        <f t="shared" ref="D933:D935" si="135">D929</f>
        <v>46220</v>
      </c>
      <c r="E933" s="471" t="str">
        <f>$O$1</f>
        <v>TTAC</v>
      </c>
      <c r="F933" s="414">
        <f>IFERROR(AVERAGE(Rankings!$K933:$R933), "TBD")</f>
        <v>3.5</v>
      </c>
      <c r="G933" s="414">
        <f>IFERROR(_xlfn.STDEV.P(Rankings!$K933:$R933), "TBD")</f>
        <v>1.258305739</v>
      </c>
      <c r="H933" s="414">
        <f>IFERROR(AVERAGE(Rankings!$K933:$N933, Rankings!$P933:$R933), "TBD")</f>
        <v>3.8</v>
      </c>
      <c r="I933" s="439" t="s">
        <v>2102</v>
      </c>
      <c r="J933" s="439" t="s">
        <v>2103</v>
      </c>
      <c r="K933" s="430">
        <v>6.0</v>
      </c>
      <c r="L933" s="431">
        <v>3.0</v>
      </c>
      <c r="M933" s="431">
        <v>4.0</v>
      </c>
      <c r="N933" s="555"/>
      <c r="O933" s="431">
        <v>2.0</v>
      </c>
      <c r="P933" s="431">
        <v>3.0</v>
      </c>
      <c r="Q933" s="464">
        <v>3.0</v>
      </c>
      <c r="R933" s="465"/>
      <c r="S933" s="466">
        <f>IF(ISTEXT($V933), "TBD", RANK(V933,$V929:$V935))</f>
        <v>3</v>
      </c>
      <c r="T933" s="467">
        <v>1.0</v>
      </c>
      <c r="U933" s="468" t="b">
        <f>Rankings!$S933=Rankings!$T933</f>
        <v>0</v>
      </c>
      <c r="V933" s="553">
        <f>IF(ISTEXT(Rankings!F933), "TBD", (RANK($F933,$F929:$F935) + IF(ISTEXT($H933), 0, (RANK($H933,$H929:$H935)/10)) + (RANK($G933,$G929:$G935)/100)))</f>
        <v>4.41</v>
      </c>
      <c r="W933" s="153"/>
    </row>
    <row r="934" ht="15.75" customHeight="1">
      <c r="A934" s="134"/>
      <c r="B934" s="134"/>
      <c r="C934" s="134"/>
      <c r="D934" s="562">
        <f t="shared" si="135"/>
        <v>46220</v>
      </c>
      <c r="E934" s="472" t="str">
        <f>$P$1</f>
        <v>Weston</v>
      </c>
      <c r="F934" s="418">
        <f>IFERROR(AVERAGE(Rankings!$K934:$R934), "TBD")</f>
        <v>2.833333333</v>
      </c>
      <c r="G934" s="418">
        <f>IFERROR(_xlfn.STDEV.P(Rankings!$K934:$R934), "TBD")</f>
        <v>1.067187373</v>
      </c>
      <c r="H934" s="418">
        <f>IFERROR(AVERAGE(Rankings!$K934:$O934, Rankings!$Q934:$R934), "TBD")</f>
        <v>3</v>
      </c>
      <c r="I934" s="440" t="s">
        <v>2104</v>
      </c>
      <c r="J934" s="440" t="s">
        <v>1769</v>
      </c>
      <c r="K934" s="430">
        <v>2.0</v>
      </c>
      <c r="L934" s="431">
        <v>2.0</v>
      </c>
      <c r="M934" s="431">
        <v>3.0</v>
      </c>
      <c r="N934" s="555"/>
      <c r="O934" s="431">
        <v>3.0</v>
      </c>
      <c r="P934" s="431">
        <v>2.0</v>
      </c>
      <c r="Q934" s="464">
        <v>5.0</v>
      </c>
      <c r="R934" s="465"/>
      <c r="S934" s="466">
        <f>IF(ISTEXT($V934), "TBD", RANK(V934,$V929:$V935))</f>
        <v>2</v>
      </c>
      <c r="T934" s="467">
        <v>1.0</v>
      </c>
      <c r="U934" s="468" t="b">
        <f>Rankings!$S934=Rankings!$T934</f>
        <v>0</v>
      </c>
      <c r="V934" s="553">
        <f>IF(ISTEXT(Rankings!F934), "TBD", (RANK($F934,$F929:$F935) + IF(ISTEXT($H934), 0, (RANK($H934,$H929:$H935)/10)) + (RANK($G934,$G929:$G935)/100)))</f>
        <v>5.54</v>
      </c>
      <c r="W934" s="153"/>
    </row>
    <row r="935" ht="15.75" customHeight="1">
      <c r="A935" s="189"/>
      <c r="B935" s="189"/>
      <c r="C935" s="189"/>
      <c r="D935" s="563">
        <f t="shared" si="135"/>
        <v>46220</v>
      </c>
      <c r="E935" s="230" t="str">
        <f>$Q$1</f>
        <v>Flocco</v>
      </c>
      <c r="F935" s="474">
        <f>IFERROR(AVERAGE(Rankings!$K935:$R935), "TBD")</f>
        <v>4</v>
      </c>
      <c r="G935" s="474">
        <f>IFERROR(_xlfn.STDEV.P(Rankings!$K935:$R935), "TBD")</f>
        <v>1</v>
      </c>
      <c r="H935" s="474">
        <f>IFERROR(AVERAGE(Rankings!$K935:$P935, Rankings!$R935), "TBD")</f>
        <v>4.4</v>
      </c>
      <c r="I935" s="475" t="s">
        <v>2105</v>
      </c>
      <c r="J935" s="475" t="s">
        <v>2093</v>
      </c>
      <c r="K935" s="430">
        <v>5.0</v>
      </c>
      <c r="L935" s="431">
        <v>4.0</v>
      </c>
      <c r="M935" s="431">
        <v>5.0</v>
      </c>
      <c r="N935" s="555"/>
      <c r="O935" s="431">
        <v>4.0</v>
      </c>
      <c r="P935" s="431">
        <v>4.0</v>
      </c>
      <c r="Q935" s="464">
        <v>2.0</v>
      </c>
      <c r="R935" s="465"/>
      <c r="S935" s="466">
        <f>IF(ISTEXT($V935), "TBD", RANK(V935,$V929:$V935))</f>
        <v>4</v>
      </c>
      <c r="T935" s="467">
        <v>1.0</v>
      </c>
      <c r="U935" s="468" t="b">
        <f>Rankings!$S935=Rankings!$T935</f>
        <v>0</v>
      </c>
      <c r="V935" s="553">
        <f>IF(ISTEXT(Rankings!F935), "TBD", (RANK($F935,$F929:$F935) + IF(ISTEXT($H935), 0, (RANK($H935,$H929:$H935)/10)) + (RANK($G935,$G929:$G935)/100)))</f>
        <v>3.25</v>
      </c>
      <c r="W935" s="208"/>
    </row>
    <row r="936" ht="15.75" customHeight="1">
      <c r="A936" s="103">
        <v>46223.0</v>
      </c>
      <c r="B936" s="453"/>
      <c r="C936" s="454" t="str">
        <f t="array" ref="C936">INDEX(Rankings!$E936:$E942, MATCH(1, (Rankings!$D936:$D942=$A936)*(Rankings!$U936:$U942=TRUE()), 0))</f>
        <v>Giacomo</v>
      </c>
      <c r="D936" s="551">
        <f>A936</f>
        <v>46223</v>
      </c>
      <c r="E936" s="455" t="str">
        <f>$K$1</f>
        <v>Logan</v>
      </c>
      <c r="F936" s="400">
        <f>IFERROR(AVERAGE(Rankings!$K936:$R936), "TBD")</f>
        <v>3.833333333</v>
      </c>
      <c r="G936" s="400">
        <f>IFERROR(_xlfn.STDEV.P(Rankings!$K936:$R936), "TBD")</f>
        <v>1.950783318</v>
      </c>
      <c r="H936" s="400">
        <f>IFERROR(AVERAGE(Rankings!$L936:$R936), "TBD")</f>
        <v>4.4</v>
      </c>
      <c r="I936" s="421" t="s">
        <v>2106</v>
      </c>
      <c r="J936" s="421" t="s">
        <v>2107</v>
      </c>
      <c r="K936" s="422">
        <v>1.0</v>
      </c>
      <c r="L936" s="423">
        <v>3.0</v>
      </c>
      <c r="M936" s="423">
        <v>5.0</v>
      </c>
      <c r="N936" s="555"/>
      <c r="O936" s="423">
        <v>6.0</v>
      </c>
      <c r="P936" s="423">
        <v>2.0</v>
      </c>
      <c r="Q936" s="456">
        <v>6.0</v>
      </c>
      <c r="R936" s="457"/>
      <c r="S936" s="458">
        <f>IF(ISTEXT($V936), "TBD", RANK(V936,$V936:$V942))</f>
        <v>4</v>
      </c>
      <c r="T936" s="459">
        <v>1.0</v>
      </c>
      <c r="U936" s="460" t="b">
        <f>Rankings!$S936=Rankings!$T936</f>
        <v>0</v>
      </c>
      <c r="V936" s="553">
        <f>IF(ISTEXT(Rankings!F936), "TBD", (RANK($F936,$F936:$F942) + IF(ISTEXT($H936), 0, (RANK($H936,$H936:$H942)/10)) + (RANK($G936,$G936:$G942)/100)))</f>
        <v>3.21</v>
      </c>
      <c r="W936" s="329"/>
    </row>
    <row r="937" ht="15.75" customHeight="1">
      <c r="A937" s="134"/>
      <c r="B937" s="134"/>
      <c r="C937" s="134"/>
      <c r="D937" s="554">
        <f>D936</f>
        <v>46223</v>
      </c>
      <c r="E937" s="463" t="str">
        <f>$L$1</f>
        <v>Parker</v>
      </c>
      <c r="F937" s="404">
        <f>IFERROR(AVERAGE(Rankings!$K937:$R937), "TBD")</f>
        <v>3.333333333</v>
      </c>
      <c r="G937" s="404">
        <f>IFERROR(_xlfn.STDEV.P(Rankings!$K937:$R937), "TBD")</f>
        <v>1.374368542</v>
      </c>
      <c r="H937" s="404">
        <f>IFERROR(AVERAGE(Rankings!$K937, Rankings!$M937:$R937), "TBD")</f>
        <v>3.8</v>
      </c>
      <c r="I937" s="429" t="s">
        <v>2108</v>
      </c>
      <c r="J937" s="429" t="s">
        <v>2109</v>
      </c>
      <c r="K937" s="430">
        <v>4.0</v>
      </c>
      <c r="L937" s="431">
        <v>1.0</v>
      </c>
      <c r="M937" s="431">
        <v>2.0</v>
      </c>
      <c r="N937" s="555"/>
      <c r="O937" s="431">
        <v>4.0</v>
      </c>
      <c r="P937" s="431">
        <v>5.0</v>
      </c>
      <c r="Q937" s="464">
        <v>4.0</v>
      </c>
      <c r="R937" s="465"/>
      <c r="S937" s="466">
        <f>IF(ISTEXT($V937), "TBD", RANK(V937,$V936:$V942))</f>
        <v>3</v>
      </c>
      <c r="T937" s="467">
        <v>1.0</v>
      </c>
      <c r="U937" s="468" t="b">
        <f>Rankings!$S937=Rankings!$T937</f>
        <v>0</v>
      </c>
      <c r="V937" s="553">
        <f>IF(ISTEXT(Rankings!F937), "TBD", (RANK($F937,$F936:$F942) + IF(ISTEXT($H937), 0, (RANK($H937,$H936:$H942)/10)) + (RANK($G937,$G936:$G942)/100)))</f>
        <v>4.45</v>
      </c>
      <c r="W937" s="153"/>
    </row>
    <row r="938" ht="15.75" customHeight="1">
      <c r="A938" s="134"/>
      <c r="B938" s="134"/>
      <c r="C938" s="134"/>
      <c r="D938" s="556">
        <f>D936</f>
        <v>46223</v>
      </c>
      <c r="E938" s="469" t="str">
        <f>$M$1</f>
        <v>Giacomo</v>
      </c>
      <c r="F938" s="408">
        <f>IFERROR(AVERAGE(Rankings!$K938:$R938), "TBD")</f>
        <v>2.666666667</v>
      </c>
      <c r="G938" s="408">
        <f>IFERROR(_xlfn.STDEV.P(Rankings!$K938:$R938), "TBD")</f>
        <v>1.699673171</v>
      </c>
      <c r="H938" s="408">
        <f>IFERROR(AVERAGE(Rankings!$K938:$L938, Rankings!$N938:$R938), "TBD")</f>
        <v>3</v>
      </c>
      <c r="I938" s="437" t="s">
        <v>2110</v>
      </c>
      <c r="J938" s="437" t="s">
        <v>2111</v>
      </c>
      <c r="K938" s="430">
        <v>2.0</v>
      </c>
      <c r="L938" s="431">
        <v>2.0</v>
      </c>
      <c r="M938" s="431">
        <v>1.0</v>
      </c>
      <c r="N938" s="555"/>
      <c r="O938" s="431">
        <v>5.0</v>
      </c>
      <c r="P938" s="431">
        <v>1.0</v>
      </c>
      <c r="Q938" s="464">
        <v>5.0</v>
      </c>
      <c r="R938" s="465"/>
      <c r="S938" s="466">
        <f>IF(ISTEXT($V938), "TBD", RANK(V938,$V936:$V942))</f>
        <v>1</v>
      </c>
      <c r="T938" s="467">
        <v>1.0</v>
      </c>
      <c r="U938" s="468" t="b">
        <f>Rankings!$S938=Rankings!$T938</f>
        <v>1</v>
      </c>
      <c r="V938" s="553">
        <f>IF(ISTEXT(Rankings!F938), "TBD", (RANK($F938,$F936:$F942) + IF(ISTEXT($H938), 0, (RANK($H938,$H936:$H942)/10)) + (RANK($G938,$G936:$G942)/100)))</f>
        <v>6.54</v>
      </c>
      <c r="W938" s="153"/>
    </row>
    <row r="939" ht="15.75" customHeight="1">
      <c r="A939" s="134"/>
      <c r="B939" s="134"/>
      <c r="C939" s="134"/>
      <c r="D939" s="557">
        <f>D936</f>
        <v>46223</v>
      </c>
      <c r="E939" s="470" t="str">
        <f>$N$1</f>
        <v>Rosey</v>
      </c>
      <c r="F939" s="411" t="str">
        <f>IFERROR(AVERAGE(Rankings!$K939:$R939), "TBD")</f>
        <v>TBD</v>
      </c>
      <c r="G939" s="411" t="str">
        <f>IFERROR(_xlfn.STDEV.P(Rankings!$K939:$R939), "TBD")</f>
        <v>TBD</v>
      </c>
      <c r="H939" s="411" t="str">
        <f>IFERROR(AVERAGE(Rankings!$K939:$M939, Rankings!$O939:$R939), "TBD")</f>
        <v>TBD</v>
      </c>
      <c r="I939" s="438"/>
      <c r="J939" s="438"/>
      <c r="K939" s="430"/>
      <c r="L939" s="566"/>
      <c r="M939" s="431" t="s">
        <v>2112</v>
      </c>
      <c r="N939" s="555"/>
      <c r="O939" s="431" t="s">
        <v>1697</v>
      </c>
      <c r="P939" s="431" t="s">
        <v>1698</v>
      </c>
      <c r="Q939" s="464" t="s">
        <v>1766</v>
      </c>
      <c r="R939" s="465"/>
      <c r="S939" s="466" t="str">
        <f>IF(ISTEXT($V939), "TBD", RANK(V939,$V936:$V942))</f>
        <v>TBD</v>
      </c>
      <c r="T939" s="467">
        <v>1.0</v>
      </c>
      <c r="U939" s="468" t="b">
        <f>Rankings!$S939=Rankings!$T939</f>
        <v>0</v>
      </c>
      <c r="V939" s="553" t="str">
        <f>IF(ISTEXT(Rankings!F939), "TBD", (RANK($F939,$F936:$F942) + IF(ISTEXT($H939), 0, (RANK($H939,$H936:$H942)/10)) + (RANK($G939,$G936:$G942)/100)))</f>
        <v>TBD</v>
      </c>
      <c r="W939" s="153"/>
    </row>
    <row r="940" ht="15.75" customHeight="1">
      <c r="A940" s="134"/>
      <c r="B940" s="134"/>
      <c r="C940" s="134"/>
      <c r="D940" s="561">
        <f t="shared" ref="D940:D942" si="136">D936</f>
        <v>46223</v>
      </c>
      <c r="E940" s="471" t="str">
        <f>$O$1</f>
        <v>TTAC</v>
      </c>
      <c r="F940" s="414">
        <f>IFERROR(AVERAGE(Rankings!$K940:$R940), "TBD")</f>
        <v>3</v>
      </c>
      <c r="G940" s="414">
        <f>IFERROR(_xlfn.STDEV.P(Rankings!$K940:$R940), "TBD")</f>
        <v>0.5773502692</v>
      </c>
      <c r="H940" s="414">
        <f>IFERROR(AVERAGE(Rankings!$K940:$N940, Rankings!$P940:$R940), "TBD")</f>
        <v>3</v>
      </c>
      <c r="I940" s="439" t="s">
        <v>2113</v>
      </c>
      <c r="J940" s="439" t="s">
        <v>2114</v>
      </c>
      <c r="K940" s="430">
        <v>3.0</v>
      </c>
      <c r="L940" s="431">
        <v>4.0</v>
      </c>
      <c r="M940" s="431">
        <v>3.0</v>
      </c>
      <c r="N940" s="555"/>
      <c r="O940" s="431">
        <v>3.0</v>
      </c>
      <c r="P940" s="431">
        <v>3.0</v>
      </c>
      <c r="Q940" s="464">
        <v>2.0</v>
      </c>
      <c r="R940" s="465"/>
      <c r="S940" s="466">
        <f>IF(ISTEXT($V940), "TBD", RANK(V940,$V936:$V942))</f>
        <v>2</v>
      </c>
      <c r="T940" s="467">
        <v>1.0</v>
      </c>
      <c r="U940" s="468" t="b">
        <f>Rankings!$S940=Rankings!$T940</f>
        <v>0</v>
      </c>
      <c r="V940" s="553">
        <f>IF(ISTEXT(Rankings!F940), "TBD", (RANK($F940,$F936:$F942) + IF(ISTEXT($H940), 0, (RANK($H940,$H936:$H942)/10)) + (RANK($G940,$G936:$G942)/100)))</f>
        <v>5.56</v>
      </c>
      <c r="W940" s="153"/>
    </row>
    <row r="941" ht="15.75" customHeight="1">
      <c r="A941" s="134"/>
      <c r="B941" s="134"/>
      <c r="C941" s="134"/>
      <c r="D941" s="562">
        <f t="shared" si="136"/>
        <v>46223</v>
      </c>
      <c r="E941" s="472" t="str">
        <f>$P$1</f>
        <v>Weston</v>
      </c>
      <c r="F941" s="418">
        <f>IFERROR(AVERAGE(Rankings!$K941:$R941), "TBD")</f>
        <v>4.166666667</v>
      </c>
      <c r="G941" s="418">
        <f>IFERROR(_xlfn.STDEV.P(Rankings!$K941:$R941), "TBD")</f>
        <v>1.771690969</v>
      </c>
      <c r="H941" s="418">
        <f>IFERROR(AVERAGE(Rankings!$K941:$O941, Rankings!$Q941:$R941), "TBD")</f>
        <v>4.2</v>
      </c>
      <c r="I941" s="440" t="s">
        <v>2115</v>
      </c>
      <c r="J941" s="440" t="s">
        <v>2116</v>
      </c>
      <c r="K941" s="430">
        <v>6.0</v>
      </c>
      <c r="L941" s="431">
        <v>5.0</v>
      </c>
      <c r="M941" s="431">
        <v>6.0</v>
      </c>
      <c r="N941" s="555"/>
      <c r="O941" s="431">
        <v>1.0</v>
      </c>
      <c r="P941" s="431">
        <v>4.0</v>
      </c>
      <c r="Q941" s="464">
        <v>3.0</v>
      </c>
      <c r="R941" s="465"/>
      <c r="S941" s="466">
        <f>IF(ISTEXT($V941), "TBD", RANK(V941,$V936:$V942))</f>
        <v>6</v>
      </c>
      <c r="T941" s="467">
        <v>1.0</v>
      </c>
      <c r="U941" s="468" t="b">
        <f>Rankings!$S941=Rankings!$T941</f>
        <v>0</v>
      </c>
      <c r="V941" s="553">
        <f>IF(ISTEXT(Rankings!F941), "TBD", (RANK($F941,$F936:$F942) + IF(ISTEXT($H941), 0, (RANK($H941,$H936:$H942)/10)) + (RANK($G941,$G936:$G942)/100)))</f>
        <v>1.33</v>
      </c>
      <c r="W941" s="153"/>
    </row>
    <row r="942" ht="15.75" customHeight="1">
      <c r="A942" s="189"/>
      <c r="B942" s="189"/>
      <c r="C942" s="189"/>
      <c r="D942" s="563">
        <f t="shared" si="136"/>
        <v>46223</v>
      </c>
      <c r="E942" s="230" t="str">
        <f>$Q$1</f>
        <v>Flocco</v>
      </c>
      <c r="F942" s="474">
        <f>IFERROR(AVERAGE(Rankings!$K942:$R942), "TBD")</f>
        <v>4</v>
      </c>
      <c r="G942" s="474">
        <f>IFERROR(_xlfn.STDEV.P(Rankings!$K942:$R942), "TBD")</f>
        <v>1.914854216</v>
      </c>
      <c r="H942" s="474">
        <f>IFERROR(AVERAGE(Rankings!$K942:$P942, Rankings!$R942), "TBD")</f>
        <v>4.6</v>
      </c>
      <c r="I942" s="475" t="s">
        <v>2117</v>
      </c>
      <c r="J942" s="475" t="s">
        <v>2118</v>
      </c>
      <c r="K942" s="430">
        <v>5.0</v>
      </c>
      <c r="L942" s="431">
        <v>6.0</v>
      </c>
      <c r="M942" s="431">
        <v>4.0</v>
      </c>
      <c r="N942" s="555"/>
      <c r="O942" s="431">
        <v>2.0</v>
      </c>
      <c r="P942" s="431">
        <v>6.0</v>
      </c>
      <c r="Q942" s="464">
        <v>1.0</v>
      </c>
      <c r="R942" s="465"/>
      <c r="S942" s="466">
        <f>IF(ISTEXT($V942), "TBD", RANK(V942,$V936:$V942))</f>
        <v>5</v>
      </c>
      <c r="T942" s="467">
        <v>1.0</v>
      </c>
      <c r="U942" s="468" t="b">
        <f>Rankings!$S942=Rankings!$T942</f>
        <v>0</v>
      </c>
      <c r="V942" s="553">
        <f>IF(ISTEXT(Rankings!F942), "TBD", (RANK($F942,$F936:$F942) + IF(ISTEXT($H942), 0, (RANK($H942,$H936:$H942)/10)) + (RANK($G942,$G936:$G942)/100)))</f>
        <v>2.12</v>
      </c>
      <c r="W942" s="208"/>
    </row>
    <row r="943" ht="15.75" customHeight="1">
      <c r="A943" s="103">
        <v>46225.0</v>
      </c>
      <c r="B943" s="453"/>
      <c r="C943" s="454" t="str">
        <f t="array" ref="C943">INDEX(Rankings!$E943:$E949, MATCH(1, (Rankings!$D943:$D949=$A943)*(Rankings!$U943:$U949=TRUE()), 0))</f>
        <v>TTAC</v>
      </c>
      <c r="D943" s="551">
        <f>A943</f>
        <v>46225</v>
      </c>
      <c r="E943" s="455" t="str">
        <f>$K$1</f>
        <v>Logan</v>
      </c>
      <c r="F943" s="400">
        <f>IFERROR(AVERAGE(Rankings!$K943:$R943), "TBD")</f>
        <v>3</v>
      </c>
      <c r="G943" s="400">
        <f>IFERROR(_xlfn.STDEV.P(Rankings!$K943:$R943), "TBD")</f>
        <v>1.732050808</v>
      </c>
      <c r="H943" s="400">
        <f>IFERROR(AVERAGE(Rankings!$L943:$R943), "TBD")</f>
        <v>3.4</v>
      </c>
      <c r="I943" s="421" t="s">
        <v>2119</v>
      </c>
      <c r="J943" s="421" t="s">
        <v>2120</v>
      </c>
      <c r="K943" s="422">
        <v>1.0</v>
      </c>
      <c r="L943" s="423">
        <v>3.0</v>
      </c>
      <c r="M943" s="423">
        <v>6.0</v>
      </c>
      <c r="N943" s="555"/>
      <c r="O943" s="423">
        <v>4.0</v>
      </c>
      <c r="P943" s="423">
        <v>3.0</v>
      </c>
      <c r="Q943" s="456">
        <v>1.0</v>
      </c>
      <c r="R943" s="457"/>
      <c r="S943" s="458">
        <f>IF(ISTEXT($V943), "TBD", RANK(V943,$V943:$V949))</f>
        <v>3</v>
      </c>
      <c r="T943" s="459">
        <v>1.0</v>
      </c>
      <c r="U943" s="460" t="b">
        <f>Rankings!$S943=Rankings!$T943</f>
        <v>0</v>
      </c>
      <c r="V943" s="553">
        <f>IF(ISTEXT(Rankings!F943), "TBD", (RANK($F943,$F943:$F949) + IF(ISTEXT($H943), 0, (RANK($H943,$H943:$H949)/10)) + (RANK($G943,$G943:$G949)/100)))</f>
        <v>4.41</v>
      </c>
      <c r="W943" s="329"/>
    </row>
    <row r="944" ht="15.75" customHeight="1">
      <c r="A944" s="134"/>
      <c r="B944" s="134"/>
      <c r="C944" s="134"/>
      <c r="D944" s="554">
        <f>D943</f>
        <v>46225</v>
      </c>
      <c r="E944" s="463" t="str">
        <f>$L$1</f>
        <v>Parker</v>
      </c>
      <c r="F944" s="404">
        <f>IFERROR(AVERAGE(Rankings!$K944:$R944), "TBD")</f>
        <v>5.5</v>
      </c>
      <c r="G944" s="404">
        <f>IFERROR(_xlfn.STDEV.P(Rankings!$K944:$R944), "TBD")</f>
        <v>0.7637626158</v>
      </c>
      <c r="H944" s="404">
        <f>IFERROR(AVERAGE(Rankings!$K944, Rankings!$M944:$R944), "TBD")</f>
        <v>5.6</v>
      </c>
      <c r="I944" s="429" t="s">
        <v>2121</v>
      </c>
      <c r="J944" s="429" t="s">
        <v>2122</v>
      </c>
      <c r="K944" s="430">
        <v>6.0</v>
      </c>
      <c r="L944" s="431">
        <v>5.0</v>
      </c>
      <c r="M944" s="431">
        <v>4.0</v>
      </c>
      <c r="N944" s="555"/>
      <c r="O944" s="431">
        <v>6.0</v>
      </c>
      <c r="P944" s="431">
        <v>6.0</v>
      </c>
      <c r="Q944" s="464">
        <v>6.0</v>
      </c>
      <c r="R944" s="465"/>
      <c r="S944" s="466">
        <f>IF(ISTEXT($V944), "TBD", RANK(V944,$V943:$V949))</f>
        <v>6</v>
      </c>
      <c r="T944" s="467">
        <v>1.0</v>
      </c>
      <c r="U944" s="468" t="b">
        <f>Rankings!$S944=Rankings!$T944</f>
        <v>0</v>
      </c>
      <c r="V944" s="553">
        <f>IF(ISTEXT(Rankings!F944), "TBD", (RANK($F944,$F943:$F949) + IF(ISTEXT($H944), 0, (RANK($H944,$H943:$H949)/10)) + (RANK($G944,$G943:$G949)/100)))</f>
        <v>1.15</v>
      </c>
      <c r="W944" s="153"/>
    </row>
    <row r="945" ht="15.75" customHeight="1">
      <c r="A945" s="134"/>
      <c r="B945" s="134"/>
      <c r="C945" s="134"/>
      <c r="D945" s="556">
        <f>D943</f>
        <v>46225</v>
      </c>
      <c r="E945" s="469" t="str">
        <f>$M$1</f>
        <v>Giacomo</v>
      </c>
      <c r="F945" s="408">
        <f>IFERROR(AVERAGE(Rankings!$K945:$R945), "TBD")</f>
        <v>4.166666667</v>
      </c>
      <c r="G945" s="408">
        <f>IFERROR(_xlfn.STDEV.P(Rankings!$K945:$R945), "TBD")</f>
        <v>1.572330189</v>
      </c>
      <c r="H945" s="408">
        <f>IFERROR(AVERAGE(Rankings!$K945:$L945, Rankings!$N945:$R945), "TBD")</f>
        <v>4.8</v>
      </c>
      <c r="I945" s="437" t="s">
        <v>2123</v>
      </c>
      <c r="J945" s="437" t="s">
        <v>1356</v>
      </c>
      <c r="K945" s="430">
        <v>4.0</v>
      </c>
      <c r="L945" s="431">
        <v>6.0</v>
      </c>
      <c r="M945" s="431">
        <v>1.0</v>
      </c>
      <c r="N945" s="555"/>
      <c r="O945" s="431">
        <v>5.0</v>
      </c>
      <c r="P945" s="431">
        <v>5.0</v>
      </c>
      <c r="Q945" s="464">
        <v>4.0</v>
      </c>
      <c r="R945" s="465"/>
      <c r="S945" s="466">
        <f>IF(ISTEXT($V945), "TBD", RANK(V945,$V943:$V949))</f>
        <v>5</v>
      </c>
      <c r="T945" s="467">
        <v>1.0</v>
      </c>
      <c r="U945" s="468" t="b">
        <f>Rankings!$S945=Rankings!$T945</f>
        <v>0</v>
      </c>
      <c r="V945" s="553">
        <f>IF(ISTEXT(Rankings!F945), "TBD", (RANK($F945,$F943:$F949) + IF(ISTEXT($H945), 0, (RANK($H945,$H943:$H949)/10)) + (RANK($G945,$G943:$G949)/100)))</f>
        <v>2.22</v>
      </c>
      <c r="W945" s="153"/>
    </row>
    <row r="946" ht="15.75" customHeight="1">
      <c r="A946" s="134"/>
      <c r="B946" s="134"/>
      <c r="C946" s="134"/>
      <c r="D946" s="557">
        <f>D943</f>
        <v>46225</v>
      </c>
      <c r="E946" s="470" t="str">
        <f>$N$1</f>
        <v>Rosey</v>
      </c>
      <c r="F946" s="411" t="str">
        <f>IFERROR(AVERAGE(Rankings!$K946:$R946), "TBD")</f>
        <v>TBD</v>
      </c>
      <c r="G946" s="411" t="str">
        <f>IFERROR(_xlfn.STDEV.P(Rankings!$K946:$R946), "TBD")</f>
        <v>TBD</v>
      </c>
      <c r="H946" s="411" t="str">
        <f>IFERROR(AVERAGE(Rankings!$K946:$M946, Rankings!$O946:$R946), "TBD")</f>
        <v>TBD</v>
      </c>
      <c r="I946" s="438"/>
      <c r="J946" s="438"/>
      <c r="K946" s="430"/>
      <c r="L946" s="566"/>
      <c r="M946" s="431" t="s">
        <v>2124</v>
      </c>
      <c r="N946" s="555"/>
      <c r="O946" s="431" t="s">
        <v>1697</v>
      </c>
      <c r="P946" s="431" t="s">
        <v>1698</v>
      </c>
      <c r="Q946" s="464" t="s">
        <v>1766</v>
      </c>
      <c r="R946" s="465"/>
      <c r="S946" s="466" t="str">
        <f>IF(ISTEXT($V946), "TBD", RANK(V946,$V943:$V949))</f>
        <v>TBD</v>
      </c>
      <c r="T946" s="467">
        <v>1.0</v>
      </c>
      <c r="U946" s="468" t="b">
        <f>Rankings!$S946=Rankings!$T946</f>
        <v>0</v>
      </c>
      <c r="V946" s="553" t="str">
        <f>IF(ISTEXT(Rankings!F946), "TBD", (RANK($F946,$F943:$F949) + IF(ISTEXT($H946), 0, (RANK($H946,$H943:$H949)/10)) + (RANK($G946,$G943:$G949)/100)))</f>
        <v>TBD</v>
      </c>
      <c r="W946" s="153"/>
    </row>
    <row r="947" ht="15.75" customHeight="1">
      <c r="A947" s="134"/>
      <c r="B947" s="134"/>
      <c r="C947" s="134"/>
      <c r="D947" s="561">
        <f t="shared" ref="D947:D949" si="137">D943</f>
        <v>46225</v>
      </c>
      <c r="E947" s="471" t="str">
        <f>$O$1</f>
        <v>TTAC</v>
      </c>
      <c r="F947" s="414">
        <f>IFERROR(AVERAGE(Rankings!$K947:$R947), "TBD")</f>
        <v>1.833333333</v>
      </c>
      <c r="G947" s="414">
        <f>IFERROR(_xlfn.STDEV.P(Rankings!$K947:$R947), "TBD")</f>
        <v>0.8975274679</v>
      </c>
      <c r="H947" s="414">
        <f>IFERROR(AVERAGE(Rankings!$K947:$N947, Rankings!$P947:$R947), "TBD")</f>
        <v>2</v>
      </c>
      <c r="I947" s="439" t="s">
        <v>2125</v>
      </c>
      <c r="J947" s="439" t="s">
        <v>2126</v>
      </c>
      <c r="K947" s="430">
        <v>3.0</v>
      </c>
      <c r="L947" s="431">
        <v>1.0</v>
      </c>
      <c r="M947" s="431">
        <v>2.0</v>
      </c>
      <c r="N947" s="555"/>
      <c r="O947" s="431">
        <v>1.0</v>
      </c>
      <c r="P947" s="431">
        <v>1.0</v>
      </c>
      <c r="Q947" s="464">
        <v>3.0</v>
      </c>
      <c r="R947" s="465"/>
      <c r="S947" s="466">
        <f>IF(ISTEXT($V947), "TBD", RANK(V947,$V943:$V949))</f>
        <v>1</v>
      </c>
      <c r="T947" s="467">
        <v>1.0</v>
      </c>
      <c r="U947" s="468" t="b">
        <f>Rankings!$S947=Rankings!$T947</f>
        <v>1</v>
      </c>
      <c r="V947" s="553">
        <f>IF(ISTEXT(Rankings!F947), "TBD", (RANK($F947,$F943:$F949) + IF(ISTEXT($H947), 0, (RANK($H947,$H943:$H949)/10)) + (RANK($G947,$G943:$G949)/100)))</f>
        <v>6.64</v>
      </c>
      <c r="W947" s="153"/>
    </row>
    <row r="948" ht="15.75" customHeight="1">
      <c r="A948" s="134"/>
      <c r="B948" s="134"/>
      <c r="C948" s="134"/>
      <c r="D948" s="562">
        <f t="shared" si="137"/>
        <v>46225</v>
      </c>
      <c r="E948" s="472" t="str">
        <f>$P$1</f>
        <v>Weston</v>
      </c>
      <c r="F948" s="418">
        <f>IFERROR(AVERAGE(Rankings!$K948:$R948), "TBD")</f>
        <v>4.166666667</v>
      </c>
      <c r="G948" s="418">
        <f>IFERROR(_xlfn.STDEV.P(Rankings!$K948:$R948), "TBD")</f>
        <v>1.067187373</v>
      </c>
      <c r="H948" s="418">
        <f>IFERROR(AVERAGE(Rankings!$K948:$O948, Rankings!$Q948:$R948), "TBD")</f>
        <v>4.2</v>
      </c>
      <c r="I948" s="440" t="s">
        <v>2127</v>
      </c>
      <c r="J948" s="440" t="s">
        <v>2128</v>
      </c>
      <c r="K948" s="430">
        <v>5.0</v>
      </c>
      <c r="L948" s="431">
        <v>4.0</v>
      </c>
      <c r="M948" s="431">
        <v>5.0</v>
      </c>
      <c r="N948" s="555"/>
      <c r="O948" s="431">
        <v>2.0</v>
      </c>
      <c r="P948" s="431">
        <v>4.0</v>
      </c>
      <c r="Q948" s="464">
        <v>5.0</v>
      </c>
      <c r="R948" s="465"/>
      <c r="S948" s="466">
        <f>IF(ISTEXT($V948), "TBD", RANK(V948,$V943:$V949))</f>
        <v>4</v>
      </c>
      <c r="T948" s="467">
        <v>1.0</v>
      </c>
      <c r="U948" s="468" t="b">
        <f>Rankings!$S948=Rankings!$T948</f>
        <v>0</v>
      </c>
      <c r="V948" s="553">
        <f>IF(ISTEXT(Rankings!F948), "TBD", (RANK($F948,$F943:$F949) + IF(ISTEXT($H948), 0, (RANK($H948,$H943:$H949)/10)) + (RANK($G948,$G943:$G949)/100)))</f>
        <v>2.33</v>
      </c>
      <c r="W948" s="153"/>
    </row>
    <row r="949" ht="15.75" customHeight="1">
      <c r="A949" s="189"/>
      <c r="B949" s="189"/>
      <c r="C949" s="189"/>
      <c r="D949" s="563">
        <f t="shared" si="137"/>
        <v>46225</v>
      </c>
      <c r="E949" s="230" t="str">
        <f>$Q$1</f>
        <v>Flocco</v>
      </c>
      <c r="F949" s="474">
        <f>IFERROR(AVERAGE(Rankings!$K949:$R949), "TBD")</f>
        <v>2.333333333</v>
      </c>
      <c r="G949" s="474">
        <f>IFERROR(_xlfn.STDEV.P(Rankings!$K949:$R949), "TBD")</f>
        <v>0.4714045208</v>
      </c>
      <c r="H949" s="474">
        <f>IFERROR(AVERAGE(Rankings!$K949:$P949, Rankings!$R949), "TBD")</f>
        <v>2.4</v>
      </c>
      <c r="I949" s="475" t="s">
        <v>2129</v>
      </c>
      <c r="J949" s="475" t="s">
        <v>1981</v>
      </c>
      <c r="K949" s="430">
        <v>2.0</v>
      </c>
      <c r="L949" s="431">
        <v>2.0</v>
      </c>
      <c r="M949" s="431">
        <v>3.0</v>
      </c>
      <c r="N949" s="555"/>
      <c r="O949" s="431">
        <v>3.0</v>
      </c>
      <c r="P949" s="431">
        <v>2.0</v>
      </c>
      <c r="Q949" s="464">
        <v>2.0</v>
      </c>
      <c r="R949" s="465"/>
      <c r="S949" s="466">
        <f>IF(ISTEXT($V949), "TBD", RANK(V949,$V943:$V949))</f>
        <v>2</v>
      </c>
      <c r="T949" s="467">
        <v>1.0</v>
      </c>
      <c r="U949" s="468" t="b">
        <f>Rankings!$S949=Rankings!$T949</f>
        <v>0</v>
      </c>
      <c r="V949" s="553">
        <f>IF(ISTEXT(Rankings!F949), "TBD", (RANK($F949,$F943:$F949) + IF(ISTEXT($H949), 0, (RANK($H949,$H943:$H949)/10)) + (RANK($G949,$G943:$G949)/100)))</f>
        <v>5.56</v>
      </c>
      <c r="W949" s="208"/>
    </row>
    <row r="950" ht="15.75" customHeight="1">
      <c r="A950" s="103">
        <v>46227.0</v>
      </c>
      <c r="B950" s="453"/>
      <c r="C950" s="454" t="str">
        <f t="array" ref="C950">INDEX(Rankings!$E950:$E956, MATCH(1, (Rankings!$D950:$D956=$A950)*(Rankings!$U950:$U956=TRUE()), 0))</f>
        <v>TTAC</v>
      </c>
      <c r="D950" s="551">
        <f>A950</f>
        <v>46227</v>
      </c>
      <c r="E950" s="455" t="str">
        <f>$K$1</f>
        <v>Logan</v>
      </c>
      <c r="F950" s="400">
        <f>IFERROR(AVERAGE(Rankings!$K950:$R950), "TBD")</f>
        <v>3.333333333</v>
      </c>
      <c r="G950" s="400">
        <f>IFERROR(_xlfn.STDEV.P(Rankings!$K950:$R950), "TBD")</f>
        <v>1.247219129</v>
      </c>
      <c r="H950" s="400">
        <f>IFERROR(AVERAGE(Rankings!$L950:$R950), "TBD")</f>
        <v>3.6</v>
      </c>
      <c r="I950" s="421" t="s">
        <v>2130</v>
      </c>
      <c r="J950" s="421" t="s">
        <v>343</v>
      </c>
      <c r="K950" s="422">
        <v>2.0</v>
      </c>
      <c r="L950" s="423">
        <v>5.0</v>
      </c>
      <c r="M950" s="423">
        <v>2.0</v>
      </c>
      <c r="N950" s="555"/>
      <c r="O950" s="423">
        <v>3.0</v>
      </c>
      <c r="P950" s="423">
        <v>5.0</v>
      </c>
      <c r="Q950" s="456">
        <v>3.0</v>
      </c>
      <c r="R950" s="457"/>
      <c r="S950" s="458">
        <f>IF(ISTEXT($V950), "TBD", RANK(V950,$V950:$V956))</f>
        <v>4</v>
      </c>
      <c r="T950" s="576">
        <v>1.0</v>
      </c>
      <c r="U950" s="460" t="b">
        <f>Rankings!$S950=Rankings!$T950</f>
        <v>0</v>
      </c>
      <c r="V950" s="553">
        <f>IF(ISTEXT(Rankings!F950), "TBD", ((8-M950) + (RANK($F950,$F950:$F956)/10) + IF(ISTEXT($H950), 0, (RANK($H950,$H950:$H956)/100)) + (RANK($G950,$G950:$G956)/1000)))</f>
        <v>6.555</v>
      </c>
      <c r="W950" s="329" t="s">
        <v>2131</v>
      </c>
    </row>
    <row r="951" ht="15.75" customHeight="1">
      <c r="A951" s="134"/>
      <c r="B951" s="134"/>
      <c r="C951" s="134"/>
      <c r="D951" s="554">
        <f>D950</f>
        <v>46227</v>
      </c>
      <c r="E951" s="463" t="str">
        <f>$L$1</f>
        <v>Parker</v>
      </c>
      <c r="F951" s="404">
        <f>IFERROR(AVERAGE(Rankings!$K951:$R951), "TBD")</f>
        <v>4</v>
      </c>
      <c r="G951" s="404">
        <f>IFERROR(_xlfn.STDEV.P(Rankings!$K951:$R951), "TBD")</f>
        <v>2.081665999</v>
      </c>
      <c r="H951" s="404">
        <f>IFERROR(AVERAGE(Rankings!$K951, Rankings!$M951:$R951), "TBD")</f>
        <v>4.4</v>
      </c>
      <c r="I951" s="429" t="s">
        <v>2132</v>
      </c>
      <c r="J951" s="429" t="s">
        <v>329</v>
      </c>
      <c r="K951" s="430">
        <v>6.0</v>
      </c>
      <c r="L951" s="431">
        <v>2.0</v>
      </c>
      <c r="M951" s="431">
        <v>1.0</v>
      </c>
      <c r="N951" s="555"/>
      <c r="O951" s="431">
        <v>6.0</v>
      </c>
      <c r="P951" s="431">
        <v>3.0</v>
      </c>
      <c r="Q951" s="464">
        <v>6.0</v>
      </c>
      <c r="R951" s="465"/>
      <c r="S951" s="466">
        <f>IF(ISTEXT($V951), "TBD", RANK(V951,$V950:$V956))</f>
        <v>2</v>
      </c>
      <c r="T951" s="444">
        <v>1.0</v>
      </c>
      <c r="U951" s="468" t="b">
        <f>Rankings!$S951=Rankings!$T951</f>
        <v>0</v>
      </c>
      <c r="V951" s="553">
        <f>IF(ISTEXT(Rankings!F951), "TBD", ((8-M951) + (RANK($F951,$F951:$F957)/10) + IF(ISTEXT($H951), 0, (RANK($H951,$H951:$H957)/100)) + (RANK($G951,$G951:$G957)/1000)))</f>
        <v>7.332</v>
      </c>
      <c r="W951" s="153"/>
    </row>
    <row r="952" ht="15.75" customHeight="1">
      <c r="A952" s="134"/>
      <c r="B952" s="134"/>
      <c r="C952" s="134"/>
      <c r="D952" s="556">
        <f>D950</f>
        <v>46227</v>
      </c>
      <c r="E952" s="469" t="str">
        <f>$M$1</f>
        <v>Giacomo</v>
      </c>
      <c r="F952" s="408">
        <f>IFERROR(AVERAGE(Rankings!$K952:$R952), "TBD")</f>
        <v>3.333333333</v>
      </c>
      <c r="G952" s="408">
        <f>IFERROR(_xlfn.STDEV.P(Rankings!$K952:$R952), "TBD")</f>
        <v>1.105541597</v>
      </c>
      <c r="H952" s="408">
        <f>IFERROR(AVERAGE(Rankings!$K952:$L952, Rankings!$N952:$R952), "TBD")</f>
        <v>3.2</v>
      </c>
      <c r="I952" s="437" t="s">
        <v>2133</v>
      </c>
      <c r="J952" s="437" t="s">
        <v>2134</v>
      </c>
      <c r="K952" s="430">
        <v>3.0</v>
      </c>
      <c r="L952" s="431">
        <v>4.0</v>
      </c>
      <c r="M952" s="431">
        <v>4.0</v>
      </c>
      <c r="N952" s="555"/>
      <c r="O952" s="431">
        <v>2.0</v>
      </c>
      <c r="P952" s="431">
        <v>2.0</v>
      </c>
      <c r="Q952" s="464">
        <v>5.0</v>
      </c>
      <c r="R952" s="465"/>
      <c r="S952" s="466">
        <f>IF(ISTEXT($V952), "TBD", RANK(V952,$V950:$V956))</f>
        <v>3</v>
      </c>
      <c r="T952" s="467">
        <v>1.0</v>
      </c>
      <c r="U952" s="468" t="b">
        <f>Rankings!$S952=Rankings!$T952</f>
        <v>0</v>
      </c>
      <c r="V952" s="553">
        <f>IF(ISTEXT(Rankings!F952), "TBD", ((8-P952) + (RANK($F952,$F952:$F958)/10) + IF(ISTEXT($H952), 0, (RANK($H952,$H952:$H958)/100)) + (RANK($G952,$G952:$G958)/1000)))</f>
        <v>6.567</v>
      </c>
      <c r="W952" s="153"/>
    </row>
    <row r="953" ht="15.75" customHeight="1">
      <c r="A953" s="134"/>
      <c r="B953" s="134"/>
      <c r="C953" s="134"/>
      <c r="D953" s="557">
        <f>D950</f>
        <v>46227</v>
      </c>
      <c r="E953" s="470" t="str">
        <f>$N$1</f>
        <v>Rosey</v>
      </c>
      <c r="F953" s="411">
        <f>IFERROR(AVERAGE(Rankings!$K953:$R953), "TBD")</f>
        <v>4</v>
      </c>
      <c r="G953" s="411">
        <f>IFERROR(_xlfn.STDEV.P(Rankings!$K953:$R953), "TBD")</f>
        <v>3</v>
      </c>
      <c r="H953" s="411">
        <f>IFERROR(AVERAGE(Rankings!$K953:$M953, Rankings!$O953:$R953), "TBD")</f>
        <v>4</v>
      </c>
      <c r="I953" s="438" t="s">
        <v>2135</v>
      </c>
      <c r="J953" s="438" t="s">
        <v>2136</v>
      </c>
      <c r="K953" s="430">
        <v>7.0</v>
      </c>
      <c r="L953" s="431">
        <v>1.0</v>
      </c>
      <c r="M953" s="431" t="s">
        <v>2137</v>
      </c>
      <c r="N953" s="555"/>
      <c r="O953" s="431" t="s">
        <v>1697</v>
      </c>
      <c r="P953" s="431" t="s">
        <v>1698</v>
      </c>
      <c r="Q953" s="464" t="s">
        <v>1766</v>
      </c>
      <c r="R953" s="465"/>
      <c r="S953" s="466">
        <f>IF(ISTEXT($V953), "TBD", RANK(V953,$V950:$V956))</f>
        <v>7</v>
      </c>
      <c r="T953" s="467">
        <v>1.0</v>
      </c>
      <c r="U953" s="468" t="b">
        <f>Rankings!$S953=Rankings!$T953</f>
        <v>0</v>
      </c>
      <c r="V953" s="553">
        <f>IF(ISTEXT(Rankings!F953), "TBD", ((8-K953) + (RANK($F953,$F953:$F959)/10) + IF(ISTEXT($H953), 0, (RANK($H953,$H953:$H959)/100)) + (RANK($G953,$G953:$G959)/1000)))</f>
        <v>1.451</v>
      </c>
      <c r="W953" s="153"/>
    </row>
    <row r="954" ht="15.75" customHeight="1">
      <c r="A954" s="134"/>
      <c r="B954" s="134"/>
      <c r="C954" s="134"/>
      <c r="D954" s="561">
        <f t="shared" ref="D954:D956" si="138">D950</f>
        <v>46227</v>
      </c>
      <c r="E954" s="471" t="str">
        <f>$O$1</f>
        <v>TTAC</v>
      </c>
      <c r="F954" s="414">
        <f>IFERROR(AVERAGE(Rankings!$K954:$R954), "TBD")</f>
        <v>2</v>
      </c>
      <c r="G954" s="414">
        <f>IFERROR(_xlfn.STDEV.P(Rankings!$K954:$R954), "TBD")</f>
        <v>1.527525232</v>
      </c>
      <c r="H954" s="414">
        <f>IFERROR(AVERAGE(Rankings!$K954:$N954, Rankings!$P954:$R954), "TBD")</f>
        <v>2.2</v>
      </c>
      <c r="I954" s="439" t="s">
        <v>161</v>
      </c>
      <c r="J954" s="439" t="s">
        <v>484</v>
      </c>
      <c r="K954" s="430">
        <v>1.0</v>
      </c>
      <c r="L954" s="431">
        <v>3.0</v>
      </c>
      <c r="M954" s="431">
        <v>5.0</v>
      </c>
      <c r="N954" s="555"/>
      <c r="O954" s="431">
        <v>1.0</v>
      </c>
      <c r="P954" s="431">
        <v>1.0</v>
      </c>
      <c r="Q954" s="464">
        <v>1.0</v>
      </c>
      <c r="R954" s="465"/>
      <c r="S954" s="466">
        <f>IF(ISTEXT($V954), "TBD", RANK(V954,$V950:$V956))</f>
        <v>1</v>
      </c>
      <c r="T954" s="467">
        <v>1.0</v>
      </c>
      <c r="U954" s="468" t="b">
        <f>Rankings!$S954=Rankings!$T954</f>
        <v>1</v>
      </c>
      <c r="V954" s="553">
        <f>IF(ISTEXT(Rankings!F954), "TBD", ((8-K954) + (RANK($F954,$F954:$F960)/10) + IF(ISTEXT($H954), 0, (RANK($H954,$H954:$H960)/100)) + (RANK($G954,$G954:$G960)/1000)))</f>
        <v>7.663</v>
      </c>
      <c r="W954" s="153"/>
    </row>
    <row r="955" ht="15.75" customHeight="1">
      <c r="A955" s="134"/>
      <c r="B955" s="134"/>
      <c r="C955" s="134"/>
      <c r="D955" s="562">
        <f t="shared" si="138"/>
        <v>46227</v>
      </c>
      <c r="E955" s="472" t="str">
        <f>$P$1</f>
        <v>Weston</v>
      </c>
      <c r="F955" s="418">
        <f>IFERROR(AVERAGE(Rankings!$K955:$R955), "TBD")</f>
        <v>4.833333333</v>
      </c>
      <c r="G955" s="418">
        <f>IFERROR(_xlfn.STDEV.P(Rankings!$K955:$R955), "TBD")</f>
        <v>1.213351648</v>
      </c>
      <c r="H955" s="418">
        <f>IFERROR(AVERAGE(Rankings!$K955:$O955, Rankings!$Q955:$R955), "TBD")</f>
        <v>5</v>
      </c>
      <c r="I955" s="440" t="s">
        <v>2138</v>
      </c>
      <c r="J955" s="440" t="s">
        <v>2139</v>
      </c>
      <c r="K955" s="430">
        <v>5.0</v>
      </c>
      <c r="L955" s="431">
        <v>7.0</v>
      </c>
      <c r="M955" s="431">
        <v>3.0</v>
      </c>
      <c r="N955" s="577"/>
      <c r="O955" s="431">
        <v>5.0</v>
      </c>
      <c r="P955" s="431">
        <v>4.0</v>
      </c>
      <c r="Q955" s="464">
        <v>5.0</v>
      </c>
      <c r="R955" s="465"/>
      <c r="S955" s="466">
        <f>IF(ISTEXT($V955), "TBD", RANK(V955,$V950:$V956))</f>
        <v>5</v>
      </c>
      <c r="T955" s="467">
        <v>1.0</v>
      </c>
      <c r="U955" s="468" t="b">
        <f>Rankings!$S955=Rankings!$T955</f>
        <v>0</v>
      </c>
      <c r="V955" s="553">
        <f>IF(ISTEXT(Rankings!F955), "TBD", ((8-M955) + (RANK($F955,$F955:$F961)/10) + IF(ISTEXT($H955), 0, (RANK($H955,$H955:$H961)/100)) + (RANK($G955,$G955:$G961)/1000)))</f>
        <v>5.126</v>
      </c>
      <c r="W955" s="153"/>
    </row>
    <row r="956" ht="15.75" customHeight="1">
      <c r="A956" s="189"/>
      <c r="B956" s="189"/>
      <c r="C956" s="189"/>
      <c r="D956" s="563">
        <f t="shared" si="138"/>
        <v>46227</v>
      </c>
      <c r="E956" s="230" t="str">
        <f>$Q$1</f>
        <v>Flocco</v>
      </c>
      <c r="F956" s="474">
        <f>IFERROR(AVERAGE(Rankings!$K956:$R956), "TBD")</f>
        <v>4</v>
      </c>
      <c r="G956" s="474">
        <f>IFERROR(_xlfn.STDEV.P(Rankings!$K956:$R956), "TBD")</f>
        <v>1.927248223</v>
      </c>
      <c r="H956" s="474">
        <f>IFERROR(AVERAGE(Rankings!$K956:$P956, Rankings!$R956), "TBD")</f>
        <v>4.333333333</v>
      </c>
      <c r="I956" s="475" t="s">
        <v>2140</v>
      </c>
      <c r="J956" s="475" t="s">
        <v>2141</v>
      </c>
      <c r="K956" s="430">
        <v>4.0</v>
      </c>
      <c r="L956" s="431">
        <v>6.0</v>
      </c>
      <c r="M956" s="431">
        <v>6.0</v>
      </c>
      <c r="N956" s="578">
        <v>1.0</v>
      </c>
      <c r="O956" s="431">
        <v>3.0</v>
      </c>
      <c r="P956" s="431">
        <v>6.0</v>
      </c>
      <c r="Q956" s="464">
        <v>2.0</v>
      </c>
      <c r="R956" s="465"/>
      <c r="S956" s="466">
        <f>IF(ISTEXT($V956), "TBD", RANK(V956,$V950:$V956))</f>
        <v>6</v>
      </c>
      <c r="T956" s="467">
        <v>1.0</v>
      </c>
      <c r="U956" s="468" t="b">
        <f>Rankings!$S956=Rankings!$T956</f>
        <v>0</v>
      </c>
      <c r="V956" s="553">
        <f>IF(ISTEXT(Rankings!F956), "TBD", ((8-K956) + (RANK($F956,$F956:$F962)/10) + IF(ISTEXT($H956), 0, (RANK($H956,$H956:$H962)/100)) + (RANK($G956,$G956:$G962)/1000)))</f>
        <v>4.331</v>
      </c>
      <c r="W956" s="208"/>
    </row>
    <row r="957" ht="15.75" customHeight="1">
      <c r="A957" s="103">
        <v>46230.0</v>
      </c>
      <c r="B957" s="453"/>
      <c r="C957" s="454" t="str">
        <f t="array" ref="C957">INDEX(Rankings!$E957:$E963, MATCH(1, (Rankings!$D957:$D963=$A957)*(Rankings!$U957:$U963=TRUE()), 0))</f>
        <v>TTAC</v>
      </c>
      <c r="D957" s="551">
        <f>A957</f>
        <v>46230</v>
      </c>
      <c r="E957" s="455" t="str">
        <f>$K$1</f>
        <v>Logan</v>
      </c>
      <c r="F957" s="400">
        <f>IFERROR(AVERAGE(Rankings!$K957:$R957), "TBD")</f>
        <v>4.166666667</v>
      </c>
      <c r="G957" s="400">
        <f>IFERROR(_xlfn.STDEV.P(Rankings!$K957:$R957), "TBD")</f>
        <v>1.343709625</v>
      </c>
      <c r="H957" s="400">
        <f>IFERROR(AVERAGE(Rankings!$L957:$R957), "TBD")</f>
        <v>4.6</v>
      </c>
      <c r="I957" s="421" t="s">
        <v>1631</v>
      </c>
      <c r="J957" s="421" t="s">
        <v>1632</v>
      </c>
      <c r="K957" s="422">
        <v>2.0</v>
      </c>
      <c r="L957" s="423">
        <v>5.0</v>
      </c>
      <c r="M957" s="423">
        <v>6.0</v>
      </c>
      <c r="N957" s="555"/>
      <c r="O957" s="423">
        <v>4.0</v>
      </c>
      <c r="P957" s="423">
        <v>5.0</v>
      </c>
      <c r="Q957" s="456">
        <v>3.0</v>
      </c>
      <c r="R957" s="457"/>
      <c r="S957" s="458">
        <f>IF(ISTEXT($V957), "TBD", RANK(V957,$V957:$V963))</f>
        <v>5</v>
      </c>
      <c r="T957" s="576">
        <v>1.0</v>
      </c>
      <c r="U957" s="460" t="b">
        <f>Rankings!$S957=Rankings!$T957</f>
        <v>0</v>
      </c>
      <c r="V957" s="553">
        <f>IF(ISTEXT(Rankings!F957), "TBD", (RANK($F957,$F957:$F963) + IF(ISTEXT($H957), 0, (RANK($H957,$H957:$H963)/10)) + (RANK($G957,$G957:$G963)/100)))</f>
        <v>2.25</v>
      </c>
      <c r="W957" s="329"/>
    </row>
    <row r="958" ht="15.75" customHeight="1">
      <c r="A958" s="134"/>
      <c r="B958" s="134"/>
      <c r="C958" s="134"/>
      <c r="D958" s="554">
        <f>D957</f>
        <v>46230</v>
      </c>
      <c r="E958" s="463" t="str">
        <f>$L$1</f>
        <v>Parker</v>
      </c>
      <c r="F958" s="404">
        <f>IFERROR(AVERAGE(Rankings!$K958:$R958), "TBD")</f>
        <v>3</v>
      </c>
      <c r="G958" s="404">
        <f>IFERROR(_xlfn.STDEV.P(Rankings!$K958:$R958), "TBD")</f>
        <v>1.527525232</v>
      </c>
      <c r="H958" s="404">
        <f>IFERROR(AVERAGE(Rankings!$K958, Rankings!$M958:$R958), "TBD")</f>
        <v>3.4</v>
      </c>
      <c r="I958" s="429" t="s">
        <v>2142</v>
      </c>
      <c r="J958" s="429" t="s">
        <v>2143</v>
      </c>
      <c r="K958" s="430">
        <v>1.0</v>
      </c>
      <c r="L958" s="431">
        <v>1.0</v>
      </c>
      <c r="M958" s="431">
        <v>3.0</v>
      </c>
      <c r="N958" s="555"/>
      <c r="O958" s="431">
        <v>5.0</v>
      </c>
      <c r="P958" s="431">
        <v>4.0</v>
      </c>
      <c r="Q958" s="464">
        <v>4.0</v>
      </c>
      <c r="R958" s="465"/>
      <c r="S958" s="466">
        <f>IF(ISTEXT($V958), "TBD", RANK(V958,$V957:$V963))</f>
        <v>2</v>
      </c>
      <c r="T958" s="444">
        <v>1.0</v>
      </c>
      <c r="U958" s="468" t="b">
        <f>Rankings!$S958=Rankings!$T958</f>
        <v>0</v>
      </c>
      <c r="V958" s="553">
        <f>IF(ISTEXT(Rankings!F958), "TBD", (RANK($F958,$F957:$F963) + IF(ISTEXT($H958), 0, (RANK($H958,$H957:$H963)/10)) + (RANK($G958,$G957:$G963)/100)))</f>
        <v>5.33</v>
      </c>
      <c r="W958" s="153"/>
    </row>
    <row r="959" ht="15.75" customHeight="1">
      <c r="A959" s="134"/>
      <c r="B959" s="134"/>
      <c r="C959" s="134"/>
      <c r="D959" s="556">
        <f>D957</f>
        <v>46230</v>
      </c>
      <c r="E959" s="469" t="str">
        <f>$M$1</f>
        <v>Giacomo</v>
      </c>
      <c r="F959" s="408">
        <f>IFERROR(AVERAGE(Rankings!$K959:$R959), "TBD")</f>
        <v>4.833333333</v>
      </c>
      <c r="G959" s="408">
        <f>IFERROR(_xlfn.STDEV.P(Rankings!$K959:$R959), "TBD")</f>
        <v>1.863389981</v>
      </c>
      <c r="H959" s="408">
        <f>IFERROR(AVERAGE(Rankings!$K959:$L959, Rankings!$N959:$R959), "TBD")</f>
        <v>5.6</v>
      </c>
      <c r="I959" s="437" t="s">
        <v>2144</v>
      </c>
      <c r="J959" s="437" t="s">
        <v>2145</v>
      </c>
      <c r="K959" s="430">
        <v>4.0</v>
      </c>
      <c r="L959" s="431">
        <v>6.0</v>
      </c>
      <c r="M959" s="431">
        <v>1.0</v>
      </c>
      <c r="N959" s="555"/>
      <c r="O959" s="431">
        <v>6.0</v>
      </c>
      <c r="P959" s="431">
        <v>6.0</v>
      </c>
      <c r="Q959" s="464">
        <v>6.0</v>
      </c>
      <c r="R959" s="465"/>
      <c r="S959" s="466">
        <f>IF(ISTEXT($V959), "TBD", RANK(V959,$V957:$V963))</f>
        <v>6</v>
      </c>
      <c r="T959" s="467">
        <v>1.0</v>
      </c>
      <c r="U959" s="468" t="b">
        <f>Rankings!$S959=Rankings!$T959</f>
        <v>0</v>
      </c>
      <c r="V959" s="553">
        <f>IF(ISTEXT(Rankings!F959), "TBD", (RANK($F959,$F957:$F963) + IF(ISTEXT($H959), 0, (RANK($H959,$H957:$H963)/10)) + (RANK($G959,$G957:$G963)/100)))</f>
        <v>1.11</v>
      </c>
      <c r="W959" s="153"/>
    </row>
    <row r="960" ht="15.75" customHeight="1">
      <c r="A960" s="134"/>
      <c r="B960" s="134"/>
      <c r="C960" s="134"/>
      <c r="D960" s="557">
        <f>D957</f>
        <v>46230</v>
      </c>
      <c r="E960" s="470" t="str">
        <f>$N$1</f>
        <v>Rosey</v>
      </c>
      <c r="F960" s="411" t="str">
        <f>IFERROR(AVERAGE(Rankings!$K960:$R960), "TBD")</f>
        <v>TBD</v>
      </c>
      <c r="G960" s="411" t="str">
        <f>IFERROR(_xlfn.STDEV.P(Rankings!$K960:$R960), "TBD")</f>
        <v>TBD</v>
      </c>
      <c r="H960" s="411" t="str">
        <f>IFERROR(AVERAGE(Rankings!$K960:$M960, Rankings!$O960:$R960), "TBD")</f>
        <v>TBD</v>
      </c>
      <c r="I960" s="438"/>
      <c r="J960" s="438"/>
      <c r="K960" s="430"/>
      <c r="L960" s="566"/>
      <c r="M960" s="431" t="s">
        <v>2146</v>
      </c>
      <c r="N960" s="555"/>
      <c r="O960" s="431" t="s">
        <v>1697</v>
      </c>
      <c r="P960" s="431" t="s">
        <v>1698</v>
      </c>
      <c r="Q960" s="464" t="s">
        <v>1766</v>
      </c>
      <c r="R960" s="465"/>
      <c r="S960" s="466" t="str">
        <f>IF(ISTEXT($V960), "TBD", RANK(V960,$V957:$V963))</f>
        <v>TBD</v>
      </c>
      <c r="T960" s="467">
        <v>1.0</v>
      </c>
      <c r="U960" s="468" t="b">
        <f>Rankings!$S960=Rankings!$T960</f>
        <v>0</v>
      </c>
      <c r="V960" s="553" t="str">
        <f>IF(ISTEXT(Rankings!F960), "TBD", (RANK($F960,$F957:$F963) + IF(ISTEXT($H960), 0, (RANK($H960,$H957:$H963)/10)) + (RANK($G960,$G957:$G963)/100)))</f>
        <v>TBD</v>
      </c>
      <c r="W960" s="153"/>
    </row>
    <row r="961" ht="15.75" customHeight="1">
      <c r="A961" s="134"/>
      <c r="B961" s="134"/>
      <c r="C961" s="134"/>
      <c r="D961" s="561">
        <f t="shared" ref="D961:D963" si="139">D957</f>
        <v>46230</v>
      </c>
      <c r="E961" s="471" t="str">
        <f>$O$1</f>
        <v>TTAC</v>
      </c>
      <c r="F961" s="414">
        <f>IFERROR(AVERAGE(Rankings!$K961:$R961), "TBD")</f>
        <v>2.666666667</v>
      </c>
      <c r="G961" s="414">
        <f>IFERROR(_xlfn.STDEV.P(Rankings!$K961:$R961), "TBD")</f>
        <v>1.795054936</v>
      </c>
      <c r="H961" s="414">
        <f>IFERROR(AVERAGE(Rankings!$K961:$N961, Rankings!$P961:$R961), "TBD")</f>
        <v>2.8</v>
      </c>
      <c r="I961" s="439" t="s">
        <v>2147</v>
      </c>
      <c r="J961" s="439" t="s">
        <v>2148</v>
      </c>
      <c r="K961" s="430">
        <v>6.0</v>
      </c>
      <c r="L961" s="431">
        <v>2.0</v>
      </c>
      <c r="M961" s="431">
        <v>4.0</v>
      </c>
      <c r="N961" s="555"/>
      <c r="O961" s="431">
        <v>2.0</v>
      </c>
      <c r="P961" s="431">
        <v>1.0</v>
      </c>
      <c r="Q961" s="464">
        <v>1.0</v>
      </c>
      <c r="R961" s="465"/>
      <c r="S961" s="466">
        <f>IF(ISTEXT($V961), "TBD", RANK(V961,$V957:$V963))</f>
        <v>1</v>
      </c>
      <c r="T961" s="467">
        <v>1.0</v>
      </c>
      <c r="U961" s="468" t="b">
        <f>Rankings!$S961=Rankings!$T961</f>
        <v>1</v>
      </c>
      <c r="V961" s="553">
        <f>IF(ISTEXT(Rankings!F961), "TBD", (RANK($F961,$F957:$F963) + IF(ISTEXT($H961), 0, (RANK($H961,$H957:$H963)/10)) + (RANK($G961,$G957:$G963)/100)))</f>
        <v>6.62</v>
      </c>
      <c r="W961" s="153"/>
    </row>
    <row r="962" ht="15.75" customHeight="1">
      <c r="A962" s="134"/>
      <c r="B962" s="134"/>
      <c r="C962" s="134"/>
      <c r="D962" s="562">
        <f t="shared" si="139"/>
        <v>46230</v>
      </c>
      <c r="E962" s="472" t="str">
        <f>$P$1</f>
        <v>Weston</v>
      </c>
      <c r="F962" s="418">
        <f>IFERROR(AVERAGE(Rankings!$K962:$R962), "TBD")</f>
        <v>3.166666667</v>
      </c>
      <c r="G962" s="418">
        <f>IFERROR(_xlfn.STDEV.P(Rankings!$K962:$R962), "TBD")</f>
        <v>1.067187373</v>
      </c>
      <c r="H962" s="418">
        <f>IFERROR(AVERAGE(Rankings!$K962:$O962, Rankings!$Q962:$R962), "TBD")</f>
        <v>3.4</v>
      </c>
      <c r="I962" s="440" t="s">
        <v>2149</v>
      </c>
      <c r="J962" s="440" t="s">
        <v>2150</v>
      </c>
      <c r="K962" s="430">
        <v>3.0</v>
      </c>
      <c r="L962" s="431">
        <v>4.0</v>
      </c>
      <c r="M962" s="431">
        <v>2.0</v>
      </c>
      <c r="N962" s="555"/>
      <c r="O962" s="431">
        <v>3.0</v>
      </c>
      <c r="P962" s="431">
        <v>2.0</v>
      </c>
      <c r="Q962" s="464">
        <v>5.0</v>
      </c>
      <c r="R962" s="465"/>
      <c r="S962" s="466">
        <f>IF(ISTEXT($V962), "TBD", RANK(V962,$V957:$V963))</f>
        <v>3</v>
      </c>
      <c r="T962" s="467">
        <v>1.0</v>
      </c>
      <c r="U962" s="468" t="b">
        <f>Rankings!$S962=Rankings!$T962</f>
        <v>0</v>
      </c>
      <c r="V962" s="553">
        <f>IF(ISTEXT(Rankings!F962), "TBD", (RANK($F962,$F957:$F963) + IF(ISTEXT($H962), 0, (RANK($H962,$H957:$H963)/10)) + (RANK($G962,$G957:$G963)/100)))</f>
        <v>3.36</v>
      </c>
      <c r="W962" s="153"/>
    </row>
    <row r="963" ht="15.75" customHeight="1">
      <c r="A963" s="189"/>
      <c r="B963" s="189"/>
      <c r="C963" s="189"/>
      <c r="D963" s="563">
        <f t="shared" si="139"/>
        <v>46230</v>
      </c>
      <c r="E963" s="230" t="str">
        <f>$Q$1</f>
        <v>Flocco</v>
      </c>
      <c r="F963" s="474">
        <f>IFERROR(AVERAGE(Rankings!$K963:$R963), "TBD")</f>
        <v>3.166666667</v>
      </c>
      <c r="G963" s="474">
        <f>IFERROR(_xlfn.STDEV.P(Rankings!$K963:$R963), "TBD")</f>
        <v>1.462494065</v>
      </c>
      <c r="H963" s="474">
        <f>IFERROR(AVERAGE(Rankings!$K963:$P963, Rankings!$R963), "TBD")</f>
        <v>3.4</v>
      </c>
      <c r="I963" s="475" t="s">
        <v>2151</v>
      </c>
      <c r="J963" s="475" t="s">
        <v>2152</v>
      </c>
      <c r="K963" s="430">
        <v>5.0</v>
      </c>
      <c r="L963" s="431">
        <v>3.0</v>
      </c>
      <c r="M963" s="431">
        <v>5.0</v>
      </c>
      <c r="N963" s="555"/>
      <c r="O963" s="431">
        <v>1.0</v>
      </c>
      <c r="P963" s="431">
        <v>3.0</v>
      </c>
      <c r="Q963" s="464">
        <v>2.0</v>
      </c>
      <c r="R963" s="465"/>
      <c r="S963" s="466">
        <f>IF(ISTEXT($V963), "TBD", RANK(V963,$V957:$V963))</f>
        <v>4</v>
      </c>
      <c r="T963" s="467">
        <v>1.0</v>
      </c>
      <c r="U963" s="468" t="b">
        <f>Rankings!$S963=Rankings!$T963</f>
        <v>0</v>
      </c>
      <c r="V963" s="553">
        <f>IF(ISTEXT(Rankings!F963), "TBD", (RANK($F963,$F957:$F963) + IF(ISTEXT($H963), 0, (RANK($H963,$H957:$H963)/10)) + (RANK($G963,$G957:$G963)/100)))</f>
        <v>3.34</v>
      </c>
      <c r="W963" s="208"/>
    </row>
    <row r="964" ht="15.75" customHeight="1">
      <c r="A964" s="103">
        <v>46232.0</v>
      </c>
      <c r="B964" s="453"/>
      <c r="C964" s="454" t="str">
        <f t="array" ref="C964">INDEX(Rankings!$E964:$E970, MATCH(1, (Rankings!$D964:$D970=$A964)*(Rankings!$U964:$U970=TRUE()), 0))</f>
        <v>Giacomo</v>
      </c>
      <c r="D964" s="551">
        <f>A964</f>
        <v>46232</v>
      </c>
      <c r="E964" s="455" t="str">
        <f>$K$1</f>
        <v>Logan</v>
      </c>
      <c r="F964" s="400">
        <f>IFERROR(AVERAGE(Rankings!$K964:$R964), "TBD")</f>
        <v>2.666666667</v>
      </c>
      <c r="G964" s="400">
        <f>IFERROR(_xlfn.STDEV.P(Rankings!$K964:$R964), "TBD")</f>
        <v>1.598610508</v>
      </c>
      <c r="H964" s="400">
        <f>IFERROR(AVERAGE(Rankings!$L964:$R964), "TBD")</f>
        <v>3</v>
      </c>
      <c r="I964" s="421" t="s">
        <v>2153</v>
      </c>
      <c r="J964" s="421" t="s">
        <v>2154</v>
      </c>
      <c r="K964" s="422">
        <v>1.0</v>
      </c>
      <c r="L964" s="423">
        <v>2.0</v>
      </c>
      <c r="M964" s="423">
        <v>3.0</v>
      </c>
      <c r="N964" s="555"/>
      <c r="O964" s="423">
        <v>6.0</v>
      </c>
      <c r="P964" s="423">
        <v>2.0</v>
      </c>
      <c r="Q964" s="456">
        <v>2.0</v>
      </c>
      <c r="R964" s="457"/>
      <c r="S964" s="458">
        <f>IF(ISTEXT($V964), "TBD", RANK(V964,$V964:$V970))</f>
        <v>2</v>
      </c>
      <c r="T964" s="576">
        <v>1.0</v>
      </c>
      <c r="U964" s="460" t="b">
        <f>Rankings!$S964=Rankings!$T964</f>
        <v>0</v>
      </c>
      <c r="V964" s="553">
        <f>IF(ISTEXT(Rankings!F964), "TBD", (RANK($F964,$F964:$F970) + IF(ISTEXT($H964), 0, (RANK($H964,$H964:$H970)/10)) + (RANK($G964,$G964:$G970)/100)))</f>
        <v>5.52</v>
      </c>
      <c r="W964" s="329"/>
    </row>
    <row r="965" ht="15.75" customHeight="1">
      <c r="A965" s="134"/>
      <c r="B965" s="134"/>
      <c r="C965" s="134"/>
      <c r="D965" s="554">
        <f>D964</f>
        <v>46232</v>
      </c>
      <c r="E965" s="463" t="str">
        <f>$L$1</f>
        <v>Parker</v>
      </c>
      <c r="F965" s="404">
        <f>IFERROR(AVERAGE(Rankings!$K965:$R965), "TBD")</f>
        <v>3.166666667</v>
      </c>
      <c r="G965" s="404">
        <f>IFERROR(_xlfn.STDEV.P(Rankings!$K965:$R965), "TBD")</f>
        <v>1.572330189</v>
      </c>
      <c r="H965" s="404">
        <f>IFERROR(AVERAGE(Rankings!$K965, Rankings!$M965:$R965), "TBD")</f>
        <v>3.6</v>
      </c>
      <c r="I965" s="429" t="s">
        <v>2155</v>
      </c>
      <c r="J965" s="429" t="s">
        <v>2156</v>
      </c>
      <c r="K965" s="430">
        <v>2.0</v>
      </c>
      <c r="L965" s="431">
        <v>1.0</v>
      </c>
      <c r="M965" s="431">
        <v>2.0</v>
      </c>
      <c r="N965" s="555"/>
      <c r="O965" s="431">
        <v>5.0</v>
      </c>
      <c r="P965" s="431">
        <v>5.0</v>
      </c>
      <c r="Q965" s="464">
        <v>4.0</v>
      </c>
      <c r="R965" s="465"/>
      <c r="S965" s="466">
        <f>IF(ISTEXT($V965), "TBD", RANK(V965,$V964:$V970))</f>
        <v>3</v>
      </c>
      <c r="T965" s="444">
        <v>1.0</v>
      </c>
      <c r="U965" s="468" t="b">
        <f>Rankings!$S965=Rankings!$T965</f>
        <v>0</v>
      </c>
      <c r="V965" s="553">
        <f>IF(ISTEXT(Rankings!F965), "TBD", (RANK($F965,$F964:$F970) + IF(ISTEXT($H965), 0, (RANK($H965,$H964:$H970)/10)) + (RANK($G965,$G964:$G970)/100)))</f>
        <v>4.43</v>
      </c>
      <c r="W965" s="153"/>
    </row>
    <row r="966" ht="15.75" customHeight="1">
      <c r="A966" s="134"/>
      <c r="B966" s="134"/>
      <c r="C966" s="134"/>
      <c r="D966" s="556">
        <f>D964</f>
        <v>46232</v>
      </c>
      <c r="E966" s="469" t="str">
        <f>$M$1</f>
        <v>Giacomo</v>
      </c>
      <c r="F966" s="408">
        <f>IFERROR(AVERAGE(Rankings!$K966:$R966), "TBD")</f>
        <v>2.5</v>
      </c>
      <c r="G966" s="408">
        <f>IFERROR(_xlfn.STDEV.P(Rankings!$K966:$R966), "TBD")</f>
        <v>1.118033989</v>
      </c>
      <c r="H966" s="408">
        <f>IFERROR(AVERAGE(Rankings!$K966:$L966, Rankings!$N966:$R966), "TBD")</f>
        <v>2.8</v>
      </c>
      <c r="I966" s="437" t="s">
        <v>2157</v>
      </c>
      <c r="J966" s="437" t="s">
        <v>2158</v>
      </c>
      <c r="K966" s="430">
        <v>3.0</v>
      </c>
      <c r="L966" s="431">
        <v>3.0</v>
      </c>
      <c r="M966" s="431">
        <v>1.0</v>
      </c>
      <c r="N966" s="555"/>
      <c r="O966" s="431">
        <v>4.0</v>
      </c>
      <c r="P966" s="431">
        <v>3.0</v>
      </c>
      <c r="Q966" s="464">
        <v>1.0</v>
      </c>
      <c r="R966" s="465"/>
      <c r="S966" s="466">
        <f>IF(ISTEXT($V966), "TBD", RANK(V966,$V964:$V970))</f>
        <v>1</v>
      </c>
      <c r="T966" s="467">
        <v>1.0</v>
      </c>
      <c r="U966" s="468" t="b">
        <f>Rankings!$S966=Rankings!$T966</f>
        <v>1</v>
      </c>
      <c r="V966" s="553">
        <f>IF(ISTEXT(Rankings!F966), "TBD", (RANK($F966,$F964:$F970) + IF(ISTEXT($H966), 0, (RANK($H966,$H964:$H970)/10)) + (RANK($G966,$G964:$G970)/100)))</f>
        <v>6.66</v>
      </c>
      <c r="W966" s="153"/>
    </row>
    <row r="967" ht="15.75" customHeight="1">
      <c r="A967" s="134"/>
      <c r="B967" s="134"/>
      <c r="C967" s="134"/>
      <c r="D967" s="557">
        <f>D964</f>
        <v>46232</v>
      </c>
      <c r="E967" s="470" t="str">
        <f>$N$1</f>
        <v>Rosey</v>
      </c>
      <c r="F967" s="411" t="str">
        <f>IFERROR(AVERAGE(Rankings!$K967:$R967), "TBD")</f>
        <v>TBD</v>
      </c>
      <c r="G967" s="411" t="str">
        <f>IFERROR(_xlfn.STDEV.P(Rankings!$K967:$R967), "TBD")</f>
        <v>TBD</v>
      </c>
      <c r="H967" s="411" t="str">
        <f>IFERROR(AVERAGE(Rankings!$K967:$M967, Rankings!$O967:$R967), "TBD")</f>
        <v>TBD</v>
      </c>
      <c r="I967" s="438"/>
      <c r="J967" s="438"/>
      <c r="K967" s="430"/>
      <c r="L967" s="566"/>
      <c r="M967" s="431" t="s">
        <v>2159</v>
      </c>
      <c r="N967" s="555"/>
      <c r="O967" s="431" t="s">
        <v>1697</v>
      </c>
      <c r="P967" s="431" t="s">
        <v>1698</v>
      </c>
      <c r="Q967" s="464" t="s">
        <v>1766</v>
      </c>
      <c r="R967" s="465"/>
      <c r="S967" s="466" t="str">
        <f>IF(ISTEXT($V967), "TBD", RANK(V967,$V964:$V970))</f>
        <v>TBD</v>
      </c>
      <c r="T967" s="467">
        <v>1.0</v>
      </c>
      <c r="U967" s="468" t="b">
        <f>Rankings!$S967=Rankings!$T967</f>
        <v>0</v>
      </c>
      <c r="V967" s="553" t="str">
        <f>IF(ISTEXT(Rankings!F967), "TBD", (RANK($F967,$F964:$F970) + IF(ISTEXT($H967), 0, (RANK($H967,$H964:$H970)/10)) + (RANK($G967,$G964:$G970)/100)))</f>
        <v>TBD</v>
      </c>
      <c r="W967" s="153"/>
    </row>
    <row r="968" ht="15.75" customHeight="1">
      <c r="A968" s="134"/>
      <c r="B968" s="134"/>
      <c r="C968" s="134"/>
      <c r="D968" s="561">
        <f t="shared" ref="D968:D970" si="140">D964</f>
        <v>46232</v>
      </c>
      <c r="E968" s="471" t="str">
        <f>$O$1</f>
        <v>TTAC</v>
      </c>
      <c r="F968" s="414">
        <f>IFERROR(AVERAGE(Rankings!$K968:$R968), "TBD")</f>
        <v>5</v>
      </c>
      <c r="G968" s="414">
        <f>IFERROR(_xlfn.STDEV.P(Rankings!$K968:$R968), "TBD")</f>
        <v>1.527525232</v>
      </c>
      <c r="H968" s="414">
        <f>IFERROR(AVERAGE(Rankings!$K968:$N968, Rankings!$P968:$R968), "TBD")</f>
        <v>5.6</v>
      </c>
      <c r="I968" s="439" t="s">
        <v>2160</v>
      </c>
      <c r="J968" s="439" t="s">
        <v>2161</v>
      </c>
      <c r="K968" s="430">
        <v>6.0</v>
      </c>
      <c r="L968" s="431">
        <v>6.0</v>
      </c>
      <c r="M968" s="431">
        <v>6.0</v>
      </c>
      <c r="N968" s="555"/>
      <c r="O968" s="431">
        <v>2.0</v>
      </c>
      <c r="P968" s="431">
        <v>4.0</v>
      </c>
      <c r="Q968" s="464">
        <v>6.0</v>
      </c>
      <c r="R968" s="465"/>
      <c r="S968" s="466">
        <f>IF(ISTEXT($V968), "TBD", RANK(V968,$V964:$V970))</f>
        <v>6</v>
      </c>
      <c r="T968" s="467">
        <v>1.0</v>
      </c>
      <c r="U968" s="468" t="b">
        <f>Rankings!$S968=Rankings!$T968</f>
        <v>0</v>
      </c>
      <c r="V968" s="553">
        <f>IF(ISTEXT(Rankings!F968), "TBD", (RANK($F968,$F964:$F970) + IF(ISTEXT($H968), 0, (RANK($H968,$H964:$H970)/10)) + (RANK($G968,$G964:$G970)/100)))</f>
        <v>1.14</v>
      </c>
      <c r="W968" s="153"/>
    </row>
    <row r="969" ht="15.75" customHeight="1">
      <c r="A969" s="134"/>
      <c r="B969" s="134"/>
      <c r="C969" s="134"/>
      <c r="D969" s="562">
        <f t="shared" si="140"/>
        <v>46232</v>
      </c>
      <c r="E969" s="472" t="str">
        <f>$P$1</f>
        <v>Weston</v>
      </c>
      <c r="F969" s="418">
        <f>IFERROR(AVERAGE(Rankings!$K969:$R969), "TBD")</f>
        <v>3.666666667</v>
      </c>
      <c r="G969" s="418">
        <f>IFERROR(_xlfn.STDEV.P(Rankings!$K969:$R969), "TBD")</f>
        <v>1.374368542</v>
      </c>
      <c r="H969" s="418">
        <f>IFERROR(AVERAGE(Rankings!$K969:$O969, Rankings!$Q969:$R969), "TBD")</f>
        <v>4.2</v>
      </c>
      <c r="I969" s="440" t="s">
        <v>2162</v>
      </c>
      <c r="J969" s="440" t="s">
        <v>2163</v>
      </c>
      <c r="K969" s="430">
        <v>4.0</v>
      </c>
      <c r="L969" s="431">
        <v>5.0</v>
      </c>
      <c r="M969" s="431">
        <v>4.0</v>
      </c>
      <c r="N969" s="555"/>
      <c r="O969" s="431">
        <v>3.0</v>
      </c>
      <c r="P969" s="431">
        <v>1.0</v>
      </c>
      <c r="Q969" s="464">
        <v>5.0</v>
      </c>
      <c r="R969" s="465"/>
      <c r="S969" s="466">
        <f>IF(ISTEXT($V969), "TBD", RANK(V969,$V964:$V970))</f>
        <v>4</v>
      </c>
      <c r="T969" s="467">
        <v>1.0</v>
      </c>
      <c r="U969" s="468" t="b">
        <f>Rankings!$S969=Rankings!$T969</f>
        <v>0</v>
      </c>
      <c r="V969" s="553">
        <f>IF(ISTEXT(Rankings!F969), "TBD", (RANK($F969,$F964:$F970) + IF(ISTEXT($H969), 0, (RANK($H969,$H964:$H970)/10)) + (RANK($G969,$G964:$G970)/100)))</f>
        <v>3.25</v>
      </c>
      <c r="W969" s="153"/>
    </row>
    <row r="970" ht="15.75" customHeight="1">
      <c r="A970" s="189"/>
      <c r="B970" s="189"/>
      <c r="C970" s="189"/>
      <c r="D970" s="563">
        <f t="shared" si="140"/>
        <v>46232</v>
      </c>
      <c r="E970" s="230" t="str">
        <f>$Q$1</f>
        <v>Flocco</v>
      </c>
      <c r="F970" s="474">
        <f>IFERROR(AVERAGE(Rankings!$K970:$R970), "TBD")</f>
        <v>4</v>
      </c>
      <c r="G970" s="474">
        <f>IFERROR(_xlfn.STDEV.P(Rankings!$K970:$R970), "TBD")</f>
        <v>1.632993162</v>
      </c>
      <c r="H970" s="474">
        <f>IFERROR(AVERAGE(Rankings!$K970:$P970, Rankings!$R970), "TBD")</f>
        <v>4.2</v>
      </c>
      <c r="I970" s="475" t="s">
        <v>2164</v>
      </c>
      <c r="J970" s="475" t="s">
        <v>904</v>
      </c>
      <c r="K970" s="430">
        <v>5.0</v>
      </c>
      <c r="L970" s="431">
        <v>4.0</v>
      </c>
      <c r="M970" s="431">
        <v>5.0</v>
      </c>
      <c r="N970" s="555"/>
      <c r="O970" s="431">
        <v>1.0</v>
      </c>
      <c r="P970" s="431">
        <v>6.0</v>
      </c>
      <c r="Q970" s="464">
        <v>3.0</v>
      </c>
      <c r="R970" s="465"/>
      <c r="S970" s="466">
        <f>IF(ISTEXT($V970), "TBD", RANK(V970,$V964:$V970))</f>
        <v>5</v>
      </c>
      <c r="T970" s="467">
        <v>1.0</v>
      </c>
      <c r="U970" s="468" t="b">
        <f>Rankings!$S970=Rankings!$T970</f>
        <v>0</v>
      </c>
      <c r="V970" s="553">
        <f>IF(ISTEXT(Rankings!F970), "TBD", (RANK($F970,$F964:$F970) + IF(ISTEXT($H970), 0, (RANK($H970,$H964:$H970)/10)) + (RANK($G970,$G964:$G970)/100)))</f>
        <v>2.21</v>
      </c>
      <c r="W970" s="208"/>
    </row>
    <row r="971" ht="15.75" customHeight="1">
      <c r="A971" s="103">
        <v>46234.0</v>
      </c>
      <c r="B971" s="453"/>
      <c r="C971" s="454" t="str">
        <f t="array" ref="C971">INDEX(Rankings!$E971:$E977, MATCH(1, (Rankings!$D971:$D977=$A971)*(Rankings!$U971:$U977=TRUE()), 0))</f>
        <v>Parker</v>
      </c>
      <c r="D971" s="551">
        <f>A971</f>
        <v>46234</v>
      </c>
      <c r="E971" s="455" t="str">
        <f>$K$1</f>
        <v>Logan</v>
      </c>
      <c r="F971" s="400">
        <f>IFERROR(AVERAGE(Rankings!$K971:$R971), "TBD")</f>
        <v>4</v>
      </c>
      <c r="G971" s="400">
        <f>IFERROR(_xlfn.STDEV.P(Rankings!$K971:$R971), "TBD")</f>
        <v>1.414213562</v>
      </c>
      <c r="H971" s="400">
        <f>IFERROR(AVERAGE(Rankings!$L971:$R971), "TBD")</f>
        <v>4.4</v>
      </c>
      <c r="I971" s="421" t="s">
        <v>2165</v>
      </c>
      <c r="J971" s="421" t="s">
        <v>2166</v>
      </c>
      <c r="K971" s="422">
        <v>2.0</v>
      </c>
      <c r="L971" s="423">
        <v>5.0</v>
      </c>
      <c r="M971" s="423">
        <v>5.0</v>
      </c>
      <c r="N971" s="555"/>
      <c r="O971" s="423">
        <v>2.0</v>
      </c>
      <c r="P971" s="131">
        <v>5.0</v>
      </c>
      <c r="Q971" s="456">
        <v>5.0</v>
      </c>
      <c r="R971" s="457"/>
      <c r="S971" s="458">
        <f>IF(ISTEXT($V971), "TBD", RANK(V971,$V971:$V977))</f>
        <v>5</v>
      </c>
      <c r="T971" s="576">
        <v>1.0</v>
      </c>
      <c r="U971" s="460" t="b">
        <f>Rankings!$S971=Rankings!$T971</f>
        <v>0</v>
      </c>
      <c r="V971" s="553">
        <f>IF(ISTEXT(Rankings!F971), "TBD", (RANK($F971,$F971:$F977) + IF(ISTEXT($H971), 0, (RANK($H971,$H971:$H977)/10)) + (RANK($G971,$G971:$G977)/100)))</f>
        <v>2.23</v>
      </c>
      <c r="W971" s="329"/>
    </row>
    <row r="972" ht="15.75" customHeight="1">
      <c r="A972" s="134"/>
      <c r="B972" s="134"/>
      <c r="C972" s="134"/>
      <c r="D972" s="554">
        <f>D971</f>
        <v>46234</v>
      </c>
      <c r="E972" s="463" t="str">
        <f>$L$1</f>
        <v>Parker</v>
      </c>
      <c r="F972" s="404">
        <f>IFERROR(AVERAGE(Rankings!$K972:$R972), "TBD")</f>
        <v>2.666666667</v>
      </c>
      <c r="G972" s="404">
        <f>IFERROR(_xlfn.STDEV.P(Rankings!$K972:$R972), "TBD")</f>
        <v>1.490711985</v>
      </c>
      <c r="H972" s="404">
        <f>IFERROR(AVERAGE(Rankings!$K972, Rankings!$M972:$R972), "TBD")</f>
        <v>3</v>
      </c>
      <c r="I972" s="429" t="s">
        <v>2167</v>
      </c>
      <c r="J972" s="429" t="s">
        <v>2168</v>
      </c>
      <c r="K972" s="430">
        <v>5.0</v>
      </c>
      <c r="L972" s="431">
        <v>1.0</v>
      </c>
      <c r="M972" s="431">
        <v>2.0</v>
      </c>
      <c r="N972" s="555"/>
      <c r="O972" s="431">
        <v>4.0</v>
      </c>
      <c r="P972" s="423">
        <v>3.0</v>
      </c>
      <c r="Q972" s="464">
        <v>1.0</v>
      </c>
      <c r="R972" s="465"/>
      <c r="S972" s="466">
        <f>IF(ISTEXT($V972), "TBD", RANK(V972,$V971:$V977))</f>
        <v>1</v>
      </c>
      <c r="T972" s="444">
        <v>1.0</v>
      </c>
      <c r="U972" s="468" t="b">
        <f>Rankings!$S972=Rankings!$T972</f>
        <v>1</v>
      </c>
      <c r="V972" s="553">
        <f>IF(ISTEXT(Rankings!F972), "TBD", (RANK($F972,$F971:$F977) + IF(ISTEXT($H972), 0, (RANK($H972,$H971:$H977)/10)) + (RANK($G972,$G971:$G977)/100)))</f>
        <v>6.52</v>
      </c>
      <c r="W972" s="153"/>
    </row>
    <row r="973" ht="15.75" customHeight="1">
      <c r="A973" s="134"/>
      <c r="B973" s="134"/>
      <c r="C973" s="134"/>
      <c r="D973" s="556">
        <f>D971</f>
        <v>46234</v>
      </c>
      <c r="E973" s="469" t="str">
        <f>$M$1</f>
        <v>Giacomo</v>
      </c>
      <c r="F973" s="408">
        <f>IFERROR(AVERAGE(Rankings!$K973:$R973), "TBD")</f>
        <v>2.833333333</v>
      </c>
      <c r="G973" s="408">
        <f>IFERROR(_xlfn.STDEV.P(Rankings!$K973:$R973), "TBD")</f>
        <v>2.266911751</v>
      </c>
      <c r="H973" s="408">
        <f>IFERROR(AVERAGE(Rankings!$K973:$L973, Rankings!$N973:$R973), "TBD")</f>
        <v>3.2</v>
      </c>
      <c r="I973" s="437" t="s">
        <v>2169</v>
      </c>
      <c r="J973" s="437" t="s">
        <v>2170</v>
      </c>
      <c r="K973" s="430">
        <v>1.0</v>
      </c>
      <c r="L973" s="431">
        <v>2.0</v>
      </c>
      <c r="M973" s="431">
        <v>1.0</v>
      </c>
      <c r="N973" s="555"/>
      <c r="O973" s="431">
        <v>6.0</v>
      </c>
      <c r="P973" s="431">
        <v>1.0</v>
      </c>
      <c r="Q973" s="464">
        <v>6.0</v>
      </c>
      <c r="R973" s="465"/>
      <c r="S973" s="466">
        <f>IF(ISTEXT($V973), "TBD", RANK(V973,$V971:$V977))</f>
        <v>3</v>
      </c>
      <c r="T973" s="467">
        <v>1.0</v>
      </c>
      <c r="U973" s="468" t="b">
        <f>Rankings!$S973=Rankings!$T973</f>
        <v>0</v>
      </c>
      <c r="V973" s="553">
        <f>IF(ISTEXT(Rankings!F973), "TBD", (RANK($F973,$F971:$F977) + IF(ISTEXT($H973), 0, (RANK($H973,$H971:$H977)/10)) + (RANK($G973,$G971:$G977)/100)))</f>
        <v>4.41</v>
      </c>
      <c r="W973" s="153"/>
    </row>
    <row r="974" ht="15.75" customHeight="1">
      <c r="A974" s="134"/>
      <c r="B974" s="134"/>
      <c r="C974" s="134"/>
      <c r="D974" s="557">
        <f>D971</f>
        <v>46234</v>
      </c>
      <c r="E974" s="470" t="str">
        <f>$N$1</f>
        <v>Rosey</v>
      </c>
      <c r="F974" s="411" t="str">
        <f>IFERROR(AVERAGE(Rankings!$K974:$R974), "TBD")</f>
        <v>TBD</v>
      </c>
      <c r="G974" s="411" t="str">
        <f>IFERROR(_xlfn.STDEV.P(Rankings!$K974:$R974), "TBD")</f>
        <v>TBD</v>
      </c>
      <c r="H974" s="411" t="str">
        <f>IFERROR(AVERAGE(Rankings!$K974:$M974, Rankings!$O974:$R974), "TBD")</f>
        <v>TBD</v>
      </c>
      <c r="I974" s="438"/>
      <c r="J974" s="438"/>
      <c r="K974" s="430"/>
      <c r="L974" s="566"/>
      <c r="M974" s="431" t="s">
        <v>2171</v>
      </c>
      <c r="N974" s="555"/>
      <c r="O974" s="431" t="s">
        <v>1697</v>
      </c>
      <c r="P974" s="431" t="s">
        <v>1698</v>
      </c>
      <c r="Q974" s="464" t="s">
        <v>1766</v>
      </c>
      <c r="R974" s="465"/>
      <c r="S974" s="466" t="str">
        <f>IF(ISTEXT($V974), "TBD", RANK(V974,$V971:$V977))</f>
        <v>TBD</v>
      </c>
      <c r="T974" s="467">
        <v>1.0</v>
      </c>
      <c r="U974" s="468" t="b">
        <f>Rankings!$S974=Rankings!$T974</f>
        <v>0</v>
      </c>
      <c r="V974" s="553" t="str">
        <f>IF(ISTEXT(Rankings!F974), "TBD", (RANK($F974,$F971:$F977) + IF(ISTEXT($H974), 0, (RANK($H974,$H971:$H977)/10)) + (RANK($G974,$G971:$G977)/100)))</f>
        <v>TBD</v>
      </c>
      <c r="W974" s="153"/>
    </row>
    <row r="975" ht="15.75" customHeight="1">
      <c r="A975" s="134"/>
      <c r="B975" s="134"/>
      <c r="C975" s="134"/>
      <c r="D975" s="561">
        <f t="shared" ref="D975:D977" si="141">D971</f>
        <v>46234</v>
      </c>
      <c r="E975" s="471" t="str">
        <f>$O$1</f>
        <v>TTAC</v>
      </c>
      <c r="F975" s="414">
        <f>IFERROR(AVERAGE(Rankings!$K975:$R975), "TBD")</f>
        <v>5</v>
      </c>
      <c r="G975" s="414">
        <f>IFERROR(_xlfn.STDEV.P(Rankings!$K975:$R975), "TBD")</f>
        <v>1.414213562</v>
      </c>
      <c r="H975" s="414">
        <f>IFERROR(AVERAGE(Rankings!$K975:$N975, Rankings!$P975:$R975), "TBD")</f>
        <v>5.4</v>
      </c>
      <c r="I975" s="439" t="s">
        <v>2172</v>
      </c>
      <c r="J975" s="439" t="s">
        <v>2173</v>
      </c>
      <c r="K975" s="430">
        <v>6.0</v>
      </c>
      <c r="L975" s="431">
        <v>6.0</v>
      </c>
      <c r="M975" s="431">
        <v>6.0</v>
      </c>
      <c r="N975" s="555"/>
      <c r="O975" s="431">
        <v>3.0</v>
      </c>
      <c r="P975" s="431">
        <v>6.0</v>
      </c>
      <c r="Q975" s="464">
        <v>3.0</v>
      </c>
      <c r="R975" s="465"/>
      <c r="S975" s="466">
        <f>IF(ISTEXT($V975), "TBD", RANK(V975,$V971:$V977))</f>
        <v>6</v>
      </c>
      <c r="T975" s="467">
        <v>1.0</v>
      </c>
      <c r="U975" s="468" t="b">
        <f>Rankings!$S975=Rankings!$T975</f>
        <v>0</v>
      </c>
      <c r="V975" s="553">
        <f>IF(ISTEXT(Rankings!F975), "TBD", (RANK($F975,$F971:$F977) + IF(ISTEXT($H975), 0, (RANK($H975,$H971:$H977)/10)) + (RANK($G975,$G971:$G977)/100)))</f>
        <v>1.13</v>
      </c>
      <c r="W975" s="153"/>
    </row>
    <row r="976" ht="15.75" customHeight="1">
      <c r="A976" s="134"/>
      <c r="B976" s="134"/>
      <c r="C976" s="134"/>
      <c r="D976" s="562">
        <f t="shared" si="141"/>
        <v>46234</v>
      </c>
      <c r="E976" s="472" t="str">
        <f>$P$1</f>
        <v>Weston</v>
      </c>
      <c r="F976" s="418">
        <f>IFERROR(AVERAGE(Rankings!$K976:$R976), "TBD")</f>
        <v>3.666666667</v>
      </c>
      <c r="G976" s="418">
        <f>IFERROR(_xlfn.STDEV.P(Rankings!$K976:$R976), "TBD")</f>
        <v>0.9428090416</v>
      </c>
      <c r="H976" s="418">
        <f>IFERROR(AVERAGE(Rankings!$K976:$O976, Rankings!$Q976:$R976), "TBD")</f>
        <v>4</v>
      </c>
      <c r="I976" s="440" t="s">
        <v>2174</v>
      </c>
      <c r="J976" s="440" t="s">
        <v>2175</v>
      </c>
      <c r="K976" s="430">
        <v>4.0</v>
      </c>
      <c r="L976" s="431">
        <v>4.0</v>
      </c>
      <c r="M976" s="431">
        <v>3.0</v>
      </c>
      <c r="N976" s="555"/>
      <c r="O976" s="431">
        <v>5.0</v>
      </c>
      <c r="P976" s="431">
        <v>2.0</v>
      </c>
      <c r="Q976" s="464">
        <v>4.0</v>
      </c>
      <c r="R976" s="465"/>
      <c r="S976" s="466">
        <f>IF(ISTEXT($V976), "TBD", RANK(V976,$V971:$V977))</f>
        <v>4</v>
      </c>
      <c r="T976" s="467">
        <v>1.0</v>
      </c>
      <c r="U976" s="468" t="b">
        <f>Rankings!$S976=Rankings!$T976</f>
        <v>0</v>
      </c>
      <c r="V976" s="553">
        <f>IF(ISTEXT(Rankings!F976), "TBD", (RANK($F976,$F971:$F977) + IF(ISTEXT($H976), 0, (RANK($H976,$H971:$H977)/10)) + (RANK($G976,$G971:$G977)/100)))</f>
        <v>3.36</v>
      </c>
      <c r="W976" s="153"/>
    </row>
    <row r="977" ht="15.75" customHeight="1">
      <c r="A977" s="189"/>
      <c r="B977" s="189"/>
      <c r="C977" s="189"/>
      <c r="D977" s="563">
        <f t="shared" si="141"/>
        <v>46234</v>
      </c>
      <c r="E977" s="230" t="str">
        <f>$Q$1</f>
        <v>Flocco</v>
      </c>
      <c r="F977" s="474">
        <f>IFERROR(AVERAGE(Rankings!$K977:$R977), "TBD")</f>
        <v>2.833333333</v>
      </c>
      <c r="G977" s="474">
        <f>IFERROR(_xlfn.STDEV.P(Rankings!$K977:$R977), "TBD")</f>
        <v>1.067187373</v>
      </c>
      <c r="H977" s="474">
        <f>IFERROR(AVERAGE(Rankings!$K977:$P977, Rankings!$R977), "TBD")</f>
        <v>3</v>
      </c>
      <c r="I977" s="475" t="s">
        <v>2176</v>
      </c>
      <c r="J977" s="475" t="s">
        <v>274</v>
      </c>
      <c r="K977" s="430">
        <v>3.0</v>
      </c>
      <c r="L977" s="431">
        <v>3.0</v>
      </c>
      <c r="M977" s="431">
        <v>4.0</v>
      </c>
      <c r="N977" s="555"/>
      <c r="O977" s="431">
        <v>1.0</v>
      </c>
      <c r="P977" s="431">
        <v>4.0</v>
      </c>
      <c r="Q977" s="464">
        <v>2.0</v>
      </c>
      <c r="R977" s="465"/>
      <c r="S977" s="466">
        <f>IF(ISTEXT($V977), "TBD", RANK(V977,$V971:$V977))</f>
        <v>2</v>
      </c>
      <c r="T977" s="467">
        <v>1.0</v>
      </c>
      <c r="U977" s="468" t="b">
        <f>Rankings!$S977=Rankings!$T977</f>
        <v>0</v>
      </c>
      <c r="V977" s="553">
        <f>IF(ISTEXT(Rankings!F977), "TBD", (RANK($F977,$F971:$F977) + IF(ISTEXT($H977), 0, (RANK($H977,$H971:$H977)/10)) + (RANK($G977,$G971:$G977)/100)))</f>
        <v>4.55</v>
      </c>
      <c r="W977" s="208"/>
    </row>
    <row r="978" ht="15.75" customHeight="1">
      <c r="A978" s="103">
        <v>46237.0</v>
      </c>
      <c r="B978" s="579" t="s">
        <v>141</v>
      </c>
      <c r="C978" s="454" t="str">
        <f t="array" ref="C978">INDEX(Rankings!$E978:$E984, MATCH(1, (Rankings!$D978:$D984=$A978)*(Rankings!$U978:$U984=TRUE()), 0))</f>
        <v>TTAC</v>
      </c>
      <c r="D978" s="551">
        <f>A978</f>
        <v>46237</v>
      </c>
      <c r="E978" s="455" t="str">
        <f>$K$1</f>
        <v>Logan</v>
      </c>
      <c r="F978" s="400">
        <f>IFERROR(AVERAGE(Rankings!$K978:$R978), "TBD")</f>
        <v>4.166666667</v>
      </c>
      <c r="G978" s="400">
        <f>IFERROR(_xlfn.STDEV.P(Rankings!$K978:$R978), "TBD")</f>
        <v>1.67497927</v>
      </c>
      <c r="H978" s="400">
        <f>IFERROR(AVERAGE(Rankings!$L978:$R978), "TBD")</f>
        <v>4.6</v>
      </c>
      <c r="I978" s="421" t="s">
        <v>2177</v>
      </c>
      <c r="J978" s="421" t="s">
        <v>1785</v>
      </c>
      <c r="K978" s="422">
        <v>2.0</v>
      </c>
      <c r="L978" s="423">
        <v>6.0</v>
      </c>
      <c r="M978" s="423">
        <v>5.0</v>
      </c>
      <c r="N978" s="555"/>
      <c r="O978" s="423">
        <v>4.0</v>
      </c>
      <c r="P978" s="423">
        <v>2.0</v>
      </c>
      <c r="Q978" s="456">
        <v>6.0</v>
      </c>
      <c r="R978" s="457"/>
      <c r="S978" s="458">
        <f>IF(ISTEXT($V978), "TBD", RANK(V978,$V978:$V984))</f>
        <v>5</v>
      </c>
      <c r="T978" s="576">
        <v>1.0</v>
      </c>
      <c r="U978" s="460" t="b">
        <f>Rankings!$S978=Rankings!$T978</f>
        <v>0</v>
      </c>
      <c r="V978" s="553">
        <f>IF(ISTEXT(Rankings!F978), "TBD", (RANK($F978,$F978:$F984) + IF(ISTEXT($H978), 0, (RANK($H978,$H978:$H984)/10)) + (RANK($G978,$G978:$G984)/100)))</f>
        <v>2.22</v>
      </c>
      <c r="W978" s="329"/>
    </row>
    <row r="979" ht="15.75" customHeight="1">
      <c r="A979" s="134"/>
      <c r="B979" s="134"/>
      <c r="C979" s="134"/>
      <c r="D979" s="554">
        <f>D978</f>
        <v>46237</v>
      </c>
      <c r="E979" s="463" t="str">
        <f>$L$1</f>
        <v>Parker</v>
      </c>
      <c r="F979" s="404">
        <f>IFERROR(AVERAGE(Rankings!$K979:$R979), "TBD")</f>
        <v>2.833333333</v>
      </c>
      <c r="G979" s="404">
        <f>IFERROR(_xlfn.STDEV.P(Rankings!$K979:$R979), "TBD")</f>
        <v>1.67497927</v>
      </c>
      <c r="H979" s="404">
        <f>IFERROR(AVERAGE(Rankings!$K979, Rankings!$M979:$R979), "TBD")</f>
        <v>3.2</v>
      </c>
      <c r="I979" s="429" t="s">
        <v>2178</v>
      </c>
      <c r="J979" s="429" t="s">
        <v>2179</v>
      </c>
      <c r="K979" s="430">
        <v>3.0</v>
      </c>
      <c r="L979" s="431">
        <v>1.0</v>
      </c>
      <c r="M979" s="431">
        <v>6.0</v>
      </c>
      <c r="N979" s="555"/>
      <c r="O979" s="431">
        <v>3.0</v>
      </c>
      <c r="P979" s="431">
        <v>1.0</v>
      </c>
      <c r="Q979" s="464">
        <v>3.0</v>
      </c>
      <c r="R979" s="465"/>
      <c r="S979" s="466">
        <f>IF(ISTEXT($V979), "TBD", RANK(V979,$V978:$V984))</f>
        <v>2</v>
      </c>
      <c r="T979" s="444">
        <v>1.0</v>
      </c>
      <c r="U979" s="468" t="b">
        <f>Rankings!$S979=Rankings!$T979</f>
        <v>0</v>
      </c>
      <c r="V979" s="553">
        <f>IF(ISTEXT(Rankings!F979), "TBD", (RANK($F979,$F978:$F984) + IF(ISTEXT($H979), 0, (RANK($H979,$H978:$H984)/10)) + (RANK($G979,$G978:$G984)/100)))</f>
        <v>5.52</v>
      </c>
      <c r="W979" s="153"/>
    </row>
    <row r="980" ht="15.75" customHeight="1">
      <c r="A980" s="134"/>
      <c r="B980" s="134"/>
      <c r="C980" s="134"/>
      <c r="D980" s="556">
        <f>D978</f>
        <v>46237</v>
      </c>
      <c r="E980" s="469" t="str">
        <f>$M$1</f>
        <v>Giacomo</v>
      </c>
      <c r="F980" s="408">
        <f>IFERROR(AVERAGE(Rankings!$K980:$R980), "TBD")</f>
        <v>3.166666667</v>
      </c>
      <c r="G980" s="408">
        <f>IFERROR(_xlfn.STDEV.P(Rankings!$K980:$R980), "TBD")</f>
        <v>1.572330189</v>
      </c>
      <c r="H980" s="408">
        <f>IFERROR(AVERAGE(Rankings!$K980:$L980, Rankings!$N980:$R980), "TBD")</f>
        <v>3.4</v>
      </c>
      <c r="I980" s="437" t="s">
        <v>2180</v>
      </c>
      <c r="J980" s="437" t="s">
        <v>2181</v>
      </c>
      <c r="K980" s="430">
        <v>5.0</v>
      </c>
      <c r="L980" s="431">
        <v>2.0</v>
      </c>
      <c r="M980" s="431">
        <v>2.0</v>
      </c>
      <c r="N980" s="555"/>
      <c r="O980" s="431">
        <v>1.0</v>
      </c>
      <c r="P980" s="431">
        <v>5.0</v>
      </c>
      <c r="Q980" s="464">
        <v>4.0</v>
      </c>
      <c r="R980" s="465"/>
      <c r="S980" s="466">
        <f>IF(ISTEXT($V980), "TBD", RANK(V980,$V978:$V984))</f>
        <v>3</v>
      </c>
      <c r="T980" s="467">
        <v>1.0</v>
      </c>
      <c r="U980" s="468" t="b">
        <f>Rankings!$S980=Rankings!$T980</f>
        <v>0</v>
      </c>
      <c r="V980" s="553">
        <f>IF(ISTEXT(Rankings!F980), "TBD", (RANK($F980,$F978:$F984) + IF(ISTEXT($H980), 0, (RANK($H980,$H978:$H984)/10)) + (RANK($G980,$G978:$G984)/100)))</f>
        <v>4.44</v>
      </c>
      <c r="W980" s="153"/>
    </row>
    <row r="981" ht="15.75" customHeight="1">
      <c r="A981" s="134"/>
      <c r="B981" s="134"/>
      <c r="C981" s="134"/>
      <c r="D981" s="557">
        <f>D978</f>
        <v>46237</v>
      </c>
      <c r="E981" s="470" t="str">
        <f>$N$1</f>
        <v>Rosey</v>
      </c>
      <c r="F981" s="411" t="str">
        <f>IFERROR(AVERAGE(Rankings!$K981:$R981), "TBD")</f>
        <v>TBD</v>
      </c>
      <c r="G981" s="411" t="str">
        <f>IFERROR(_xlfn.STDEV.P(Rankings!$K981:$R981), "TBD")</f>
        <v>TBD</v>
      </c>
      <c r="H981" s="411" t="str">
        <f>IFERROR(AVERAGE(Rankings!$K981:$M981, Rankings!$O981:$R981), "TBD")</f>
        <v>TBD</v>
      </c>
      <c r="I981" s="438"/>
      <c r="J981" s="438"/>
      <c r="K981" s="430"/>
      <c r="L981" s="566"/>
      <c r="M981" s="431" t="s">
        <v>2182</v>
      </c>
      <c r="N981" s="555"/>
      <c r="O981" s="431" t="s">
        <v>1697</v>
      </c>
      <c r="P981" s="431" t="s">
        <v>1698</v>
      </c>
      <c r="Q981" s="464" t="s">
        <v>1766</v>
      </c>
      <c r="R981" s="465"/>
      <c r="S981" s="466" t="str">
        <f>IF(ISTEXT($V981), "TBD", RANK(V981,$V978:$V984))</f>
        <v>TBD</v>
      </c>
      <c r="T981" s="467">
        <v>1.0</v>
      </c>
      <c r="U981" s="468" t="b">
        <f>Rankings!$S981=Rankings!$T981</f>
        <v>0</v>
      </c>
      <c r="V981" s="553" t="str">
        <f>IF(ISTEXT(Rankings!F981), "TBD", (RANK($F981,$F978:$F984) + IF(ISTEXT($H981), 0, (RANK($H981,$H978:$H984)/10)) + (RANK($G981,$G978:$G984)/100)))</f>
        <v>TBD</v>
      </c>
      <c r="W981" s="153"/>
    </row>
    <row r="982" ht="15.75" customHeight="1">
      <c r="A982" s="134"/>
      <c r="B982" s="134"/>
      <c r="C982" s="134"/>
      <c r="D982" s="561">
        <f t="shared" ref="D982:D984" si="142">D978</f>
        <v>46237</v>
      </c>
      <c r="E982" s="471" t="str">
        <f>$O$1</f>
        <v>TTAC</v>
      </c>
      <c r="F982" s="414">
        <f>IFERROR(AVERAGE(Rankings!$K982:$R982), "TBD")</f>
        <v>2.833333333</v>
      </c>
      <c r="G982" s="414">
        <f>IFERROR(_xlfn.STDEV.P(Rankings!$K982:$R982), "TBD")</f>
        <v>1.343709625</v>
      </c>
      <c r="H982" s="414">
        <f>IFERROR(AVERAGE(Rankings!$K982:$N982, Rankings!$P982:$R982), "TBD")</f>
        <v>3</v>
      </c>
      <c r="I982" s="439" t="s">
        <v>2183</v>
      </c>
      <c r="J982" s="439" t="s">
        <v>1255</v>
      </c>
      <c r="K982" s="430">
        <v>1.0</v>
      </c>
      <c r="L982" s="431">
        <v>5.0</v>
      </c>
      <c r="M982" s="431">
        <v>3.0</v>
      </c>
      <c r="N982" s="555"/>
      <c r="O982" s="431">
        <v>2.0</v>
      </c>
      <c r="P982" s="431">
        <v>4.0</v>
      </c>
      <c r="Q982" s="464">
        <v>2.0</v>
      </c>
      <c r="R982" s="465"/>
      <c r="S982" s="466">
        <f>IF(ISTEXT($V982), "TBD", RANK(V982,$V978:$V984))</f>
        <v>1</v>
      </c>
      <c r="T982" s="467">
        <v>1.0</v>
      </c>
      <c r="U982" s="468" t="b">
        <f>Rankings!$S982=Rankings!$T982</f>
        <v>1</v>
      </c>
      <c r="V982" s="553">
        <f>IF(ISTEXT(Rankings!F982), "TBD", (RANK($F982,$F978:$F984) + IF(ISTEXT($H982), 0, (RANK($H982,$H978:$H984)/10)) + (RANK($G982,$G978:$G984)/100)))</f>
        <v>5.66</v>
      </c>
      <c r="W982" s="153"/>
    </row>
    <row r="983" ht="15.75" customHeight="1">
      <c r="A983" s="134"/>
      <c r="B983" s="134"/>
      <c r="C983" s="134"/>
      <c r="D983" s="562">
        <f t="shared" si="142"/>
        <v>46237</v>
      </c>
      <c r="E983" s="472" t="str">
        <f>$P$1</f>
        <v>Weston</v>
      </c>
      <c r="F983" s="418">
        <f>IFERROR(AVERAGE(Rankings!$K983:$R983), "TBD")</f>
        <v>3.666666667</v>
      </c>
      <c r="G983" s="418">
        <f>IFERROR(_xlfn.STDEV.P(Rankings!$K983:$R983), "TBD")</f>
        <v>1.374368542</v>
      </c>
      <c r="H983" s="418">
        <f>IFERROR(AVERAGE(Rankings!$K983:$O983, Rankings!$Q983:$R983), "TBD")</f>
        <v>3.8</v>
      </c>
      <c r="I983" s="440" t="s">
        <v>2184</v>
      </c>
      <c r="J983" s="440" t="s">
        <v>2185</v>
      </c>
      <c r="K983" s="430">
        <v>4.0</v>
      </c>
      <c r="L983" s="431">
        <v>4.0</v>
      </c>
      <c r="M983" s="431">
        <v>1.0</v>
      </c>
      <c r="N983" s="555"/>
      <c r="O983" s="431">
        <v>5.0</v>
      </c>
      <c r="P983" s="431">
        <v>3.0</v>
      </c>
      <c r="Q983" s="464">
        <v>5.0</v>
      </c>
      <c r="R983" s="465"/>
      <c r="S983" s="466">
        <f>IF(ISTEXT($V983), "TBD", RANK(V983,$V978:$V984))</f>
        <v>4</v>
      </c>
      <c r="T983" s="467">
        <v>1.0</v>
      </c>
      <c r="U983" s="468" t="b">
        <f>Rankings!$S983=Rankings!$T983</f>
        <v>0</v>
      </c>
      <c r="V983" s="553">
        <f>IF(ISTEXT(Rankings!F983), "TBD", (RANK($F983,$F978:$F984) + IF(ISTEXT($H983), 0, (RANK($H983,$H978:$H984)/10)) + (RANK($G983,$G978:$G984)/100)))</f>
        <v>3.35</v>
      </c>
      <c r="W983" s="153"/>
    </row>
    <row r="984" ht="15.75" customHeight="1">
      <c r="A984" s="189"/>
      <c r="B984" s="189"/>
      <c r="C984" s="189"/>
      <c r="D984" s="563">
        <f t="shared" si="142"/>
        <v>46237</v>
      </c>
      <c r="E984" s="230" t="str">
        <f>$Q$1</f>
        <v>Flocco</v>
      </c>
      <c r="F984" s="474">
        <f>IFERROR(AVERAGE(Rankings!$K984:$R984), "TBD")</f>
        <v>4.333333333</v>
      </c>
      <c r="G984" s="474">
        <f>IFERROR(_xlfn.STDEV.P(Rankings!$K984:$R984), "TBD")</f>
        <v>1.885618083</v>
      </c>
      <c r="H984" s="474">
        <f>IFERROR(AVERAGE(Rankings!$K984:$P984, Rankings!$R984), "TBD")</f>
        <v>5</v>
      </c>
      <c r="I984" s="580">
        <v>29.0</v>
      </c>
      <c r="J984" s="475" t="s">
        <v>2186</v>
      </c>
      <c r="K984" s="430">
        <v>6.0</v>
      </c>
      <c r="L984" s="431">
        <v>3.0</v>
      </c>
      <c r="M984" s="431">
        <v>4.0</v>
      </c>
      <c r="N984" s="555"/>
      <c r="O984" s="431">
        <v>6.0</v>
      </c>
      <c r="P984" s="431">
        <v>6.0</v>
      </c>
      <c r="Q984" s="464">
        <v>1.0</v>
      </c>
      <c r="R984" s="465"/>
      <c r="S984" s="466">
        <f>IF(ISTEXT($V984), "TBD", RANK(V984,$V978:$V984))</f>
        <v>6</v>
      </c>
      <c r="T984" s="467">
        <v>1.0</v>
      </c>
      <c r="U984" s="468" t="b">
        <f>Rankings!$S984=Rankings!$T984</f>
        <v>0</v>
      </c>
      <c r="V984" s="553">
        <f>IF(ISTEXT(Rankings!F984), "TBD", (RANK($F984,$F978:$F984) + IF(ISTEXT($H984), 0, (RANK($H984,$H978:$H984)/10)) + (RANK($G984,$G978:$G984)/100)))</f>
        <v>1.11</v>
      </c>
      <c r="W984" s="208"/>
    </row>
    <row r="985" ht="15.75" customHeight="1">
      <c r="A985" s="103">
        <v>46239.0</v>
      </c>
      <c r="B985" s="453"/>
      <c r="C985" s="454" t="str">
        <f t="array" ref="C985">INDEX(Rankings!$E985:$E991, MATCH(1, (Rankings!$D985:$D991=$A985)*(Rankings!$U985:$U991=TRUE()), 0))</f>
        <v>Weston</v>
      </c>
      <c r="D985" s="551">
        <f>A985</f>
        <v>46239</v>
      </c>
      <c r="E985" s="455" t="str">
        <f>$K$1</f>
        <v>Logan</v>
      </c>
      <c r="F985" s="400">
        <f>IFERROR(AVERAGE(Rankings!$K985:$R985), "TBD")</f>
        <v>3.166666667</v>
      </c>
      <c r="G985" s="400">
        <f>IFERROR(_xlfn.STDEV.P(Rankings!$K985:$R985), "TBD")</f>
        <v>1.572330189</v>
      </c>
      <c r="H985" s="400">
        <f>IFERROR(AVERAGE(Rankings!$L985:$R985), "TBD")</f>
        <v>3.6</v>
      </c>
      <c r="I985" s="421" t="s">
        <v>2187</v>
      </c>
      <c r="J985" s="421" t="s">
        <v>2188</v>
      </c>
      <c r="K985" s="422">
        <v>1.0</v>
      </c>
      <c r="L985" s="423">
        <v>2.0</v>
      </c>
      <c r="M985" s="423">
        <v>4.0</v>
      </c>
      <c r="N985" s="555"/>
      <c r="O985" s="423">
        <v>5.0</v>
      </c>
      <c r="P985" s="423">
        <v>2.0</v>
      </c>
      <c r="Q985" s="456">
        <v>5.0</v>
      </c>
      <c r="R985" s="457"/>
      <c r="S985" s="458">
        <f>IF(ISTEXT($V985), "TBD", RANK(V985,$V985:$V991))</f>
        <v>3</v>
      </c>
      <c r="T985" s="576">
        <v>1.0</v>
      </c>
      <c r="U985" s="460" t="b">
        <f>Rankings!$S985=Rankings!$T985</f>
        <v>0</v>
      </c>
      <c r="V985" s="553">
        <f>IF(ISTEXT(Rankings!F985), "TBD", (RANK($F985,$F985:$F991) + IF(ISTEXT($H985), 0, (RANK($H985,$H985:$H991)/10)) + (RANK($G985,$G985:$G991)/100)))</f>
        <v>4.43</v>
      </c>
      <c r="W985" s="329"/>
    </row>
    <row r="986" ht="15.75" customHeight="1">
      <c r="A986" s="134"/>
      <c r="B986" s="134"/>
      <c r="C986" s="134"/>
      <c r="D986" s="554">
        <f>D985</f>
        <v>46239</v>
      </c>
      <c r="E986" s="463" t="str">
        <f>$L$1</f>
        <v>Parker</v>
      </c>
      <c r="F986" s="404">
        <f>IFERROR(AVERAGE(Rankings!$K986:$R986), "TBD")</f>
        <v>3.166666667</v>
      </c>
      <c r="G986" s="404">
        <f>IFERROR(_xlfn.STDEV.P(Rankings!$K986:$R986), "TBD")</f>
        <v>1.213351648</v>
      </c>
      <c r="H986" s="404">
        <f>IFERROR(AVERAGE(Rankings!$K986, Rankings!$M986:$R986), "TBD")</f>
        <v>3.6</v>
      </c>
      <c r="I986" s="429" t="s">
        <v>2189</v>
      </c>
      <c r="J986" s="429" t="s">
        <v>595</v>
      </c>
      <c r="K986" s="430">
        <v>5.0</v>
      </c>
      <c r="L986" s="431">
        <v>1.0</v>
      </c>
      <c r="M986" s="431">
        <v>3.0</v>
      </c>
      <c r="N986" s="555"/>
      <c r="O986" s="431">
        <v>4.0</v>
      </c>
      <c r="P986" s="431">
        <v>3.0</v>
      </c>
      <c r="Q986" s="464">
        <v>3.0</v>
      </c>
      <c r="R986" s="465"/>
      <c r="S986" s="466">
        <f>IF(ISTEXT($V986), "TBD", RANK(V986,$V985:$V991))</f>
        <v>2</v>
      </c>
      <c r="T986" s="444">
        <v>1.0</v>
      </c>
      <c r="U986" s="468" t="b">
        <f>Rankings!$S986=Rankings!$T986</f>
        <v>0</v>
      </c>
      <c r="V986" s="553">
        <f>IF(ISTEXT(Rankings!F986), "TBD", (RANK($F986,$F985:$F991) + IF(ISTEXT($H986), 0, (RANK($H986,$H985:$H991)/10)) + (RANK($G986,$G985:$G991)/100)))</f>
        <v>4.46</v>
      </c>
      <c r="W986" s="153"/>
    </row>
    <row r="987" ht="15.75" customHeight="1">
      <c r="A987" s="134"/>
      <c r="B987" s="134"/>
      <c r="C987" s="134"/>
      <c r="D987" s="556">
        <f>D985</f>
        <v>46239</v>
      </c>
      <c r="E987" s="469" t="str">
        <f>$M$1</f>
        <v>Giacomo</v>
      </c>
      <c r="F987" s="408">
        <f>IFERROR(AVERAGE(Rankings!$K987:$R987), "TBD")</f>
        <v>4.5</v>
      </c>
      <c r="G987" s="408">
        <f>IFERROR(_xlfn.STDEV.P(Rankings!$K987:$R987), "TBD")</f>
        <v>1.892969449</v>
      </c>
      <c r="H987" s="408">
        <f>IFERROR(AVERAGE(Rankings!$K987:$L987, Rankings!$N987:$R987), "TBD")</f>
        <v>5.2</v>
      </c>
      <c r="I987" s="437" t="s">
        <v>2190</v>
      </c>
      <c r="J987" s="437" t="s">
        <v>2191</v>
      </c>
      <c r="K987" s="430">
        <v>6.0</v>
      </c>
      <c r="L987" s="431">
        <v>3.0</v>
      </c>
      <c r="M987" s="431">
        <v>1.0</v>
      </c>
      <c r="N987" s="555"/>
      <c r="O987" s="431">
        <v>6.0</v>
      </c>
      <c r="P987" s="431">
        <v>5.0</v>
      </c>
      <c r="Q987" s="464">
        <v>6.0</v>
      </c>
      <c r="R987" s="465"/>
      <c r="S987" s="466">
        <f>IF(ISTEXT($V987), "TBD", RANK(V987,$V985:$V991))</f>
        <v>6</v>
      </c>
      <c r="T987" s="467">
        <v>1.0</v>
      </c>
      <c r="U987" s="468" t="b">
        <f>Rankings!$S987=Rankings!$T987</f>
        <v>0</v>
      </c>
      <c r="V987" s="553">
        <f>IF(ISTEXT(Rankings!F987), "TBD", (RANK($F987,$F985:$F991) + IF(ISTEXT($H987), 0, (RANK($H987,$H985:$H991)/10)) + (RANK($G987,$G985:$G991)/100)))</f>
        <v>1.11</v>
      </c>
      <c r="W987" s="153"/>
    </row>
    <row r="988" ht="15.75" customHeight="1">
      <c r="A988" s="134"/>
      <c r="B988" s="134"/>
      <c r="C988" s="134"/>
      <c r="D988" s="557">
        <f>D985</f>
        <v>46239</v>
      </c>
      <c r="E988" s="470" t="str">
        <f>$N$1</f>
        <v>Rosey</v>
      </c>
      <c r="F988" s="411" t="str">
        <f>IFERROR(AVERAGE(Rankings!$K988:$R988), "TBD")</f>
        <v>TBD</v>
      </c>
      <c r="G988" s="411" t="str">
        <f>IFERROR(_xlfn.STDEV.P(Rankings!$K988:$R988), "TBD")</f>
        <v>TBD</v>
      </c>
      <c r="H988" s="411" t="str">
        <f>IFERROR(AVERAGE(Rankings!$K988:$M988, Rankings!$O988:$R988), "TBD")</f>
        <v>TBD</v>
      </c>
      <c r="I988" s="438"/>
      <c r="J988" s="438"/>
      <c r="K988" s="430"/>
      <c r="L988" s="566"/>
      <c r="M988" s="431" t="s">
        <v>2192</v>
      </c>
      <c r="N988" s="555"/>
      <c r="O988" s="431" t="s">
        <v>1697</v>
      </c>
      <c r="P988" s="431" t="s">
        <v>1698</v>
      </c>
      <c r="Q988" s="464" t="s">
        <v>1766</v>
      </c>
      <c r="R988" s="465"/>
      <c r="S988" s="466" t="str">
        <f>IF(ISTEXT($V988), "TBD", RANK(V988,$V985:$V991))</f>
        <v>TBD</v>
      </c>
      <c r="T988" s="467">
        <v>1.0</v>
      </c>
      <c r="U988" s="468" t="b">
        <f>Rankings!$S988=Rankings!$T988</f>
        <v>0</v>
      </c>
      <c r="V988" s="553" t="str">
        <f>IF(ISTEXT(Rankings!F988), "TBD", (RANK($F988,$F985:$F991) + IF(ISTEXT($H988), 0, (RANK($H988,$H985:$H991)/10)) + (RANK($G988,$G985:$G991)/100)))</f>
        <v>TBD</v>
      </c>
      <c r="W988" s="153"/>
    </row>
    <row r="989" ht="15.75" customHeight="1">
      <c r="A989" s="134"/>
      <c r="B989" s="134"/>
      <c r="C989" s="134"/>
      <c r="D989" s="561">
        <f t="shared" ref="D989:D991" si="143">D985</f>
        <v>46239</v>
      </c>
      <c r="E989" s="471" t="str">
        <f>$O$1</f>
        <v>TTAC</v>
      </c>
      <c r="F989" s="414">
        <f>IFERROR(AVERAGE(Rankings!$K989:$R989), "TBD")</f>
        <v>4.166666667</v>
      </c>
      <c r="G989" s="414">
        <f>IFERROR(_xlfn.STDEV.P(Rankings!$K989:$R989), "TBD")</f>
        <v>1.863389981</v>
      </c>
      <c r="H989" s="414">
        <f>IFERROR(AVERAGE(Rankings!$K989:$N989, Rankings!$P989:$R989), "TBD")</f>
        <v>4.6</v>
      </c>
      <c r="I989" s="439" t="s">
        <v>2193</v>
      </c>
      <c r="J989" s="439" t="s">
        <v>2194</v>
      </c>
      <c r="K989" s="430">
        <v>3.0</v>
      </c>
      <c r="L989" s="431">
        <v>6.0</v>
      </c>
      <c r="M989" s="431">
        <v>6.0</v>
      </c>
      <c r="N989" s="555"/>
      <c r="O989" s="431">
        <v>2.0</v>
      </c>
      <c r="P989" s="431">
        <v>6.0</v>
      </c>
      <c r="Q989" s="464">
        <v>2.0</v>
      </c>
      <c r="R989" s="465"/>
      <c r="S989" s="466">
        <f>IF(ISTEXT($V989), "TBD", RANK(V989,$V985:$V991))</f>
        <v>5</v>
      </c>
      <c r="T989" s="467">
        <v>1.0</v>
      </c>
      <c r="U989" s="468" t="b">
        <f>Rankings!$S989=Rankings!$T989</f>
        <v>0</v>
      </c>
      <c r="V989" s="553">
        <f>IF(ISTEXT(Rankings!F989), "TBD", (RANK($F989,$F985:$F991) + IF(ISTEXT($H989), 0, (RANK($H989,$H985:$H991)/10)) + (RANK($G989,$G985:$G991)/100)))</f>
        <v>2.22</v>
      </c>
      <c r="W989" s="153"/>
    </row>
    <row r="990" ht="15.75" customHeight="1">
      <c r="A990" s="134"/>
      <c r="B990" s="134"/>
      <c r="C990" s="134"/>
      <c r="D990" s="562">
        <f t="shared" si="143"/>
        <v>46239</v>
      </c>
      <c r="E990" s="472" t="str">
        <f>$P$1</f>
        <v>Weston</v>
      </c>
      <c r="F990" s="418">
        <f>IFERROR(AVERAGE(Rankings!$K990:$R990), "TBD")</f>
        <v>2.333333333</v>
      </c>
      <c r="G990" s="418">
        <f>IFERROR(_xlfn.STDEV.P(Rankings!$K990:$R990), "TBD")</f>
        <v>1.247219129</v>
      </c>
      <c r="H990" s="418">
        <f>IFERROR(AVERAGE(Rankings!$K990:$O990, Rankings!$Q990:$R990), "TBD")</f>
        <v>2.6</v>
      </c>
      <c r="I990" s="440" t="s">
        <v>2195</v>
      </c>
      <c r="J990" s="440" t="s">
        <v>2196</v>
      </c>
      <c r="K990" s="430">
        <v>2.0</v>
      </c>
      <c r="L990" s="431">
        <v>4.0</v>
      </c>
      <c r="M990" s="431">
        <v>2.0</v>
      </c>
      <c r="N990" s="555"/>
      <c r="O990" s="431">
        <v>1.0</v>
      </c>
      <c r="P990" s="431">
        <v>1.0</v>
      </c>
      <c r="Q990" s="464">
        <v>4.0</v>
      </c>
      <c r="R990" s="465"/>
      <c r="S990" s="466">
        <f>IF(ISTEXT($V990), "TBD", RANK(V990,$V985:$V991))</f>
        <v>1</v>
      </c>
      <c r="T990" s="467">
        <v>1.0</v>
      </c>
      <c r="U990" s="468" t="b">
        <f>Rankings!$S990=Rankings!$T990</f>
        <v>1</v>
      </c>
      <c r="V990" s="553">
        <f>IF(ISTEXT(Rankings!F990), "TBD", (RANK($F990,$F985:$F991) + IF(ISTEXT($H990), 0, (RANK($H990,$H985:$H991)/10)) + (RANK($G990,$G985:$G991)/100)))</f>
        <v>6.65</v>
      </c>
      <c r="W990" s="153"/>
    </row>
    <row r="991" ht="15.75" customHeight="1">
      <c r="A991" s="189"/>
      <c r="B991" s="189"/>
      <c r="C991" s="189"/>
      <c r="D991" s="563">
        <f t="shared" si="143"/>
        <v>46239</v>
      </c>
      <c r="E991" s="230" t="str">
        <f>$Q$1</f>
        <v>Flocco</v>
      </c>
      <c r="F991" s="474">
        <f>IFERROR(AVERAGE(Rankings!$K991:$R991), "TBD")</f>
        <v>3.666666667</v>
      </c>
      <c r="G991" s="474">
        <f>IFERROR(_xlfn.STDEV.P(Rankings!$K991:$R991), "TBD")</f>
        <v>1.374368542</v>
      </c>
      <c r="H991" s="474">
        <f>IFERROR(AVERAGE(Rankings!$K991:$P991, Rankings!$R991), "TBD")</f>
        <v>4.2</v>
      </c>
      <c r="I991" s="475" t="s">
        <v>2197</v>
      </c>
      <c r="J991" s="475" t="s">
        <v>2198</v>
      </c>
      <c r="K991" s="430">
        <v>4.0</v>
      </c>
      <c r="L991" s="431">
        <v>5.0</v>
      </c>
      <c r="M991" s="431">
        <v>5.0</v>
      </c>
      <c r="N991" s="555"/>
      <c r="O991" s="431">
        <v>3.0</v>
      </c>
      <c r="P991" s="431">
        <v>4.0</v>
      </c>
      <c r="Q991" s="464">
        <v>1.0</v>
      </c>
      <c r="R991" s="465"/>
      <c r="S991" s="466">
        <f>IF(ISTEXT($V991), "TBD", RANK(V991,$V985:$V991))</f>
        <v>4</v>
      </c>
      <c r="T991" s="467">
        <v>1.0</v>
      </c>
      <c r="U991" s="468" t="b">
        <f>Rankings!$S991=Rankings!$T991</f>
        <v>0</v>
      </c>
      <c r="V991" s="553">
        <f>IF(ISTEXT(Rankings!F991), "TBD", (RANK($F991,$F985:$F991) + IF(ISTEXT($H991), 0, (RANK($H991,$H985:$H991)/10)) + (RANK($G991,$G985:$G991)/100)))</f>
        <v>3.34</v>
      </c>
      <c r="W991" s="208"/>
      <c r="Y991" s="443"/>
    </row>
    <row r="992" ht="15.75" customHeight="1">
      <c r="A992" s="103">
        <v>46241.0</v>
      </c>
      <c r="B992" s="453"/>
      <c r="C992" s="454" t="str">
        <f t="array" ref="C992">INDEX(Rankings!$E992:$E998, MATCH(1, (Rankings!$D992:$D998=$A992)*(Rankings!$U992:$U998=TRUE()), 0))</f>
        <v>Parker</v>
      </c>
      <c r="D992" s="551">
        <f>A992</f>
        <v>46241</v>
      </c>
      <c r="E992" s="455" t="str">
        <f>$K$1</f>
        <v>Logan</v>
      </c>
      <c r="F992" s="400">
        <f>IFERROR(AVERAGE(Rankings!$K992:$R992), "TBD")</f>
        <v>2.833333333</v>
      </c>
      <c r="G992" s="400">
        <f>IFERROR(_xlfn.STDEV.P(Rankings!$K992:$R992), "TBD")</f>
        <v>1.343709625</v>
      </c>
      <c r="H992" s="400">
        <f>IFERROR(AVERAGE(Rankings!$L992:$R992), "TBD")</f>
        <v>3</v>
      </c>
      <c r="I992" s="421" t="s">
        <v>2199</v>
      </c>
      <c r="J992" s="421" t="s">
        <v>2200</v>
      </c>
      <c r="K992" s="422">
        <v>2.0</v>
      </c>
      <c r="L992" s="423">
        <v>2.0</v>
      </c>
      <c r="M992" s="423">
        <v>5.0</v>
      </c>
      <c r="N992" s="555"/>
      <c r="O992" s="423">
        <v>1.0</v>
      </c>
      <c r="P992" s="423">
        <v>3.0</v>
      </c>
      <c r="Q992" s="456">
        <v>4.0</v>
      </c>
      <c r="R992" s="457"/>
      <c r="S992" s="458">
        <f>IF(ISTEXT($V992), "TBD", RANK(V992,$V992:$V998))</f>
        <v>2</v>
      </c>
      <c r="T992" s="576">
        <v>1.0</v>
      </c>
      <c r="U992" s="460" t="b">
        <f>Rankings!$S992=Rankings!$T992</f>
        <v>0</v>
      </c>
      <c r="V992" s="553">
        <f>IF(ISTEXT(Rankings!F992), "TBD", (RANK($F992,$F992:$F998) + IF(ISTEXT($H992), 0, (RANK($H992,$H992:$H998)/10)) + (RANK($G992,$G992:$G998)/100)))</f>
        <v>5.56</v>
      </c>
      <c r="W992" s="329" t="s">
        <v>2201</v>
      </c>
      <c r="Y992" s="443"/>
    </row>
    <row r="993" ht="15.75" customHeight="1">
      <c r="A993" s="134"/>
      <c r="B993" s="134"/>
      <c r="C993" s="134"/>
      <c r="D993" s="554">
        <f>D992</f>
        <v>46241</v>
      </c>
      <c r="E993" s="463" t="str">
        <f>$L$1</f>
        <v>Parker</v>
      </c>
      <c r="F993" s="404">
        <f>IFERROR(AVERAGE(Rankings!$K993:$R993), "TBD")</f>
        <v>2.333333333</v>
      </c>
      <c r="G993" s="404">
        <f>IFERROR(_xlfn.STDEV.P(Rankings!$K993:$R993), "TBD")</f>
        <v>1.598610508</v>
      </c>
      <c r="H993" s="404">
        <f>IFERROR(AVERAGE(Rankings!$K993, Rankings!$M993:$R993), "TBD")</f>
        <v>2.6</v>
      </c>
      <c r="I993" s="429" t="s">
        <v>110</v>
      </c>
      <c r="J993" s="429" t="s">
        <v>2202</v>
      </c>
      <c r="K993" s="430">
        <v>5.0</v>
      </c>
      <c r="L993" s="431">
        <v>1.0</v>
      </c>
      <c r="M993" s="431">
        <v>1.0</v>
      </c>
      <c r="N993" s="555"/>
      <c r="O993" s="431">
        <v>4.0</v>
      </c>
      <c r="P993" s="431">
        <v>1.0</v>
      </c>
      <c r="Q993" s="464">
        <v>2.0</v>
      </c>
      <c r="R993" s="465"/>
      <c r="S993" s="466">
        <f>IF(ISTEXT($V993), "TBD", RANK(V993,$V992:$V998))</f>
        <v>1</v>
      </c>
      <c r="T993" s="444">
        <v>1.0</v>
      </c>
      <c r="U993" s="468" t="b">
        <f>Rankings!$S993=Rankings!$T993</f>
        <v>1</v>
      </c>
      <c r="V993" s="553">
        <f>IF(ISTEXT(Rankings!F993), "TBD", (RANK($F993,$F992:$F998) + IF(ISTEXT($H993), 0, (RANK($H993,$H992:$H998)/10)) + (RANK($G993,$G992:$G998)/100)))</f>
        <v>6.63</v>
      </c>
      <c r="W993" s="153"/>
      <c r="Y993" s="443"/>
    </row>
    <row r="994" ht="15.75" customHeight="1">
      <c r="A994" s="134"/>
      <c r="B994" s="134"/>
      <c r="C994" s="134"/>
      <c r="D994" s="556">
        <f>D992</f>
        <v>46241</v>
      </c>
      <c r="E994" s="469" t="str">
        <f>$M$1</f>
        <v>Giacomo</v>
      </c>
      <c r="F994" s="408">
        <f>IFERROR(AVERAGE(Rankings!$K994:$R994), "TBD")</f>
        <v>3.833333333</v>
      </c>
      <c r="G994" s="408">
        <f>IFERROR(_xlfn.STDEV.P(Rankings!$K994:$R994), "TBD")</f>
        <v>1.67497927</v>
      </c>
      <c r="H994" s="408">
        <f>IFERROR(AVERAGE(Rankings!$K994:$L994, Rankings!$N994:$R994), "TBD")</f>
        <v>4</v>
      </c>
      <c r="I994" s="437" t="s">
        <v>2203</v>
      </c>
      <c r="J994" s="437" t="s">
        <v>2204</v>
      </c>
      <c r="K994" s="430">
        <v>1.0</v>
      </c>
      <c r="L994" s="431">
        <v>3.0</v>
      </c>
      <c r="M994" s="431">
        <v>3.0</v>
      </c>
      <c r="N994" s="555"/>
      <c r="O994" s="431">
        <v>5.0</v>
      </c>
      <c r="P994" s="431">
        <v>6.0</v>
      </c>
      <c r="Q994" s="464">
        <v>5.0</v>
      </c>
      <c r="R994" s="465"/>
      <c r="S994" s="466">
        <f>IF(ISTEXT($V994), "TBD", RANK(V994,$V992:$V998))</f>
        <v>4</v>
      </c>
      <c r="T994" s="467">
        <v>1.0</v>
      </c>
      <c r="U994" s="468" t="b">
        <f>Rankings!$S994=Rankings!$T994</f>
        <v>0</v>
      </c>
      <c r="V994" s="553">
        <f>IF(ISTEXT(Rankings!F994), "TBD", (RANK($F994,$F992:$F998) + IF(ISTEXT($H994), 0, (RANK($H994,$H992:$H998)/10)) + (RANK($G994,$G992:$G998)/100)))</f>
        <v>3.32</v>
      </c>
      <c r="W994" s="153"/>
      <c r="Y994" s="443"/>
    </row>
    <row r="995" ht="15.75" customHeight="1">
      <c r="A995" s="134"/>
      <c r="B995" s="134"/>
      <c r="C995" s="134"/>
      <c r="D995" s="557">
        <f>D992</f>
        <v>46241</v>
      </c>
      <c r="E995" s="470" t="str">
        <f>$N$1</f>
        <v>Rosey</v>
      </c>
      <c r="F995" s="411" t="str">
        <f>IFERROR(AVERAGE(Rankings!$K995:$R995), "TBD")</f>
        <v>TBD</v>
      </c>
      <c r="G995" s="411" t="str">
        <f>IFERROR(_xlfn.STDEV.P(Rankings!$K995:$R995), "TBD")</f>
        <v>TBD</v>
      </c>
      <c r="H995" s="411" t="str">
        <f>IFERROR(AVERAGE(Rankings!$K995:$M995, Rankings!$O995:$R995), "TBD")</f>
        <v>TBD</v>
      </c>
      <c r="I995" s="438"/>
      <c r="J995" s="438"/>
      <c r="K995" s="430"/>
      <c r="L995" s="566"/>
      <c r="M995" s="431" t="s">
        <v>2205</v>
      </c>
      <c r="N995" s="555"/>
      <c r="O995" s="431" t="s">
        <v>1697</v>
      </c>
      <c r="P995" s="431" t="s">
        <v>1698</v>
      </c>
      <c r="Q995" s="464" t="s">
        <v>1766</v>
      </c>
      <c r="R995" s="465"/>
      <c r="S995" s="466" t="str">
        <f>IF(ISTEXT($V995), "TBD", RANK(V995,$V992:$V998))</f>
        <v>TBD</v>
      </c>
      <c r="T995" s="467">
        <v>1.0</v>
      </c>
      <c r="U995" s="468" t="b">
        <f>Rankings!$S995=Rankings!$T995</f>
        <v>0</v>
      </c>
      <c r="V995" s="553" t="str">
        <f>IF(ISTEXT(Rankings!F995), "TBD", (RANK($F995,$F992:$F998) + IF(ISTEXT($H995), 0, (RANK($H995,$H992:$H998)/10)) + (RANK($G995,$G992:$G998)/100)))</f>
        <v>TBD</v>
      </c>
      <c r="W995" s="153"/>
      <c r="Y995" s="443"/>
    </row>
    <row r="996" ht="15.75" customHeight="1">
      <c r="A996" s="134"/>
      <c r="B996" s="134"/>
      <c r="C996" s="134"/>
      <c r="D996" s="561">
        <f t="shared" ref="D996:D998" si="144">D992</f>
        <v>46241</v>
      </c>
      <c r="E996" s="471" t="str">
        <f>$O$1</f>
        <v>TTAC</v>
      </c>
      <c r="F996" s="414">
        <f>IFERROR(AVERAGE(Rankings!$K996:$R996), "TBD")</f>
        <v>4.166666667</v>
      </c>
      <c r="G996" s="414">
        <f>IFERROR(_xlfn.STDEV.P(Rankings!$K996:$R996), "TBD")</f>
        <v>1.462494065</v>
      </c>
      <c r="H996" s="414">
        <f>IFERROR(AVERAGE(Rankings!$K996:$N996, Rankings!$P996:$R996), "TBD")</f>
        <v>4.6</v>
      </c>
      <c r="I996" s="439" t="s">
        <v>2206</v>
      </c>
      <c r="J996" s="439" t="s">
        <v>2207</v>
      </c>
      <c r="K996" s="430">
        <v>6.0</v>
      </c>
      <c r="L996" s="431">
        <v>4.0</v>
      </c>
      <c r="M996" s="431">
        <v>6.0</v>
      </c>
      <c r="N996" s="555"/>
      <c r="O996" s="431">
        <v>2.0</v>
      </c>
      <c r="P996" s="431">
        <v>4.0</v>
      </c>
      <c r="Q996" s="464">
        <v>3.0</v>
      </c>
      <c r="R996" s="465"/>
      <c r="S996" s="466">
        <f>IF(ISTEXT($V996), "TBD", RANK(V996,$V992:$V998))</f>
        <v>5</v>
      </c>
      <c r="T996" s="467">
        <v>1.0</v>
      </c>
      <c r="U996" s="468" t="b">
        <f>Rankings!$S996=Rankings!$T996</f>
        <v>0</v>
      </c>
      <c r="V996" s="553">
        <f>IF(ISTEXT(Rankings!F996), "TBD", (RANK($F996,$F992:$F998) + IF(ISTEXT($H996), 0, (RANK($H996,$H992:$H998)/10)) + (RANK($G996,$G992:$G998)/100)))</f>
        <v>2.24</v>
      </c>
      <c r="W996" s="153"/>
      <c r="Y996" s="443"/>
    </row>
    <row r="997" ht="15.75" customHeight="1">
      <c r="A997" s="134"/>
      <c r="B997" s="134"/>
      <c r="C997" s="134"/>
      <c r="D997" s="562">
        <f t="shared" si="144"/>
        <v>46241</v>
      </c>
      <c r="E997" s="472" t="str">
        <f>$P$1</f>
        <v>Weston</v>
      </c>
      <c r="F997" s="418">
        <f>IFERROR(AVERAGE(Rankings!$K997:$R997), "TBD")</f>
        <v>4.333333333</v>
      </c>
      <c r="G997" s="418">
        <f>IFERROR(_xlfn.STDEV.P(Rankings!$K997:$R997), "TBD")</f>
        <v>1.795054936</v>
      </c>
      <c r="H997" s="418">
        <f>IFERROR(AVERAGE(Rankings!$K997:$O997, Rankings!$Q997:$R997), "TBD")</f>
        <v>4.8</v>
      </c>
      <c r="I997" s="440" t="s">
        <v>2208</v>
      </c>
      <c r="J997" s="440" t="s">
        <v>2209</v>
      </c>
      <c r="K997" s="430">
        <v>4.0</v>
      </c>
      <c r="L997" s="431">
        <v>6.0</v>
      </c>
      <c r="M997" s="431">
        <v>2.0</v>
      </c>
      <c r="N997" s="555"/>
      <c r="O997" s="431">
        <v>6.0</v>
      </c>
      <c r="P997" s="431">
        <v>2.0</v>
      </c>
      <c r="Q997" s="464">
        <v>6.0</v>
      </c>
      <c r="R997" s="465"/>
      <c r="S997" s="466">
        <f>IF(ISTEXT($V997), "TBD", RANK(V997,$V992:$V998))</f>
        <v>6</v>
      </c>
      <c r="T997" s="467">
        <v>1.0</v>
      </c>
      <c r="U997" s="468" t="b">
        <f>Rankings!$S997=Rankings!$T997</f>
        <v>0</v>
      </c>
      <c r="V997" s="553">
        <f>IF(ISTEXT(Rankings!F997), "TBD", (RANK($F997,$F992:$F998) + IF(ISTEXT($H997), 0, (RANK($H997,$H992:$H998)/10)) + (RANK($G997,$G992:$G998)/100)))</f>
        <v>1.11</v>
      </c>
      <c r="W997" s="153"/>
      <c r="Y997" s="443"/>
    </row>
    <row r="998" ht="15.75" customHeight="1">
      <c r="A998" s="189"/>
      <c r="B998" s="189"/>
      <c r="C998" s="189"/>
      <c r="D998" s="563">
        <f t="shared" si="144"/>
        <v>46241</v>
      </c>
      <c r="E998" s="230" t="str">
        <f>$Q$1</f>
        <v>Flocco</v>
      </c>
      <c r="F998" s="474">
        <f>IFERROR(AVERAGE(Rankings!$K998:$R998), "TBD")</f>
        <v>3.5</v>
      </c>
      <c r="G998" s="474">
        <f>IFERROR(_xlfn.STDEV.P(Rankings!$K998:$R998), "TBD")</f>
        <v>1.38443731</v>
      </c>
      <c r="H998" s="474">
        <f>IFERROR(AVERAGE(Rankings!$K998:$P998, Rankings!$R998), "TBD")</f>
        <v>4</v>
      </c>
      <c r="I998" s="475" t="s">
        <v>2210</v>
      </c>
      <c r="J998" s="475" t="s">
        <v>2211</v>
      </c>
      <c r="K998" s="430">
        <v>3.0</v>
      </c>
      <c r="L998" s="431">
        <v>5.0</v>
      </c>
      <c r="M998" s="431">
        <v>4.0</v>
      </c>
      <c r="N998" s="555"/>
      <c r="O998" s="431">
        <v>3.0</v>
      </c>
      <c r="P998" s="431">
        <v>5.0</v>
      </c>
      <c r="Q998" s="464">
        <v>1.0</v>
      </c>
      <c r="R998" s="465"/>
      <c r="S998" s="466">
        <f>IF(ISTEXT($V998), "TBD", RANK(V998,$V992:$V998))</f>
        <v>3</v>
      </c>
      <c r="T998" s="467">
        <v>1.0</v>
      </c>
      <c r="U998" s="468" t="b">
        <f>Rankings!$S998=Rankings!$T998</f>
        <v>0</v>
      </c>
      <c r="V998" s="553">
        <f>IF(ISTEXT(Rankings!F998), "TBD", (RANK($F998,$F992:$F998) + IF(ISTEXT($H998), 0, (RANK($H998,$H992:$H998)/10)) + (RANK($G998,$G992:$G998)/100)))</f>
        <v>4.35</v>
      </c>
      <c r="W998" s="208"/>
      <c r="Y998" s="443"/>
    </row>
    <row r="999" ht="15.75" customHeight="1">
      <c r="A999" s="103">
        <v>46244.0</v>
      </c>
      <c r="B999" s="453"/>
      <c r="C999" s="454" t="str">
        <f t="array" ref="C999">INDEX(Rankings!$E999:$E1005, MATCH(1, (Rankings!$D999:$D1005=$A999)*(Rankings!$U999:$U1005=TRUE()), 0))</f>
        <v>Parker</v>
      </c>
      <c r="D999" s="551">
        <f>A999</f>
        <v>46244</v>
      </c>
      <c r="E999" s="455" t="str">
        <f>$K$1</f>
        <v>Logan</v>
      </c>
      <c r="F999" s="400">
        <f>IFERROR(AVERAGE(Rankings!$K999:$R999), "TBD")</f>
        <v>3</v>
      </c>
      <c r="G999" s="400">
        <f>IFERROR(_xlfn.STDEV.P(Rankings!$K999:$R999), "TBD")</f>
        <v>1.154700538</v>
      </c>
      <c r="H999" s="400">
        <f>IFERROR(AVERAGE(Rankings!$L999:$R999), "TBD")</f>
        <v>3.2</v>
      </c>
      <c r="I999" s="421" t="s">
        <v>2212</v>
      </c>
      <c r="J999" s="421" t="s">
        <v>2213</v>
      </c>
      <c r="K999" s="422">
        <v>2.0</v>
      </c>
      <c r="L999" s="423">
        <v>4.0</v>
      </c>
      <c r="M999" s="423">
        <v>3.0</v>
      </c>
      <c r="N999" s="555"/>
      <c r="O999" s="423">
        <v>4.0</v>
      </c>
      <c r="P999" s="423">
        <v>1.0</v>
      </c>
      <c r="Q999" s="456">
        <v>4.0</v>
      </c>
      <c r="R999" s="457"/>
      <c r="S999" s="458">
        <f>IF(ISTEXT($V999), "TBD", RANK(V999,$V999:$V1005))</f>
        <v>2</v>
      </c>
      <c r="T999" s="576">
        <v>1.0</v>
      </c>
      <c r="U999" s="460" t="b">
        <f>Rankings!$S999=Rankings!$T999</f>
        <v>0</v>
      </c>
      <c r="V999" s="553">
        <f>IF(ISTEXT(Rankings!F999), "TBD", (RANK($F999,$F999:$F1005) + IF(ISTEXT($H999), 0, (RANK($H999,$H999:$H1005)/10)) + (RANK($G999,$G999:$G1005)/100)))</f>
        <v>5.55</v>
      </c>
      <c r="W999" s="329"/>
      <c r="Y999" s="443"/>
    </row>
    <row r="1000" ht="15.75" customHeight="1">
      <c r="A1000" s="134"/>
      <c r="B1000" s="134"/>
      <c r="C1000" s="134"/>
      <c r="D1000" s="554">
        <f>D999</f>
        <v>46244</v>
      </c>
      <c r="E1000" s="463" t="str">
        <f>$L$1</f>
        <v>Parker</v>
      </c>
      <c r="F1000" s="404">
        <f>IFERROR(AVERAGE(Rankings!$K1000:$R1000), "TBD")</f>
        <v>1.666666667</v>
      </c>
      <c r="G1000" s="404">
        <f>IFERROR(_xlfn.STDEV.P(Rankings!$K1000:$R1000), "TBD")</f>
        <v>1.105541597</v>
      </c>
      <c r="H1000" s="404">
        <f>IFERROR(AVERAGE(Rankings!$K1000, Rankings!$M1000:$R1000), "TBD")</f>
        <v>1.8</v>
      </c>
      <c r="I1000" s="429" t="s">
        <v>2214</v>
      </c>
      <c r="J1000" s="429" t="s">
        <v>2215</v>
      </c>
      <c r="K1000" s="430">
        <v>1.0</v>
      </c>
      <c r="L1000" s="431">
        <v>1.0</v>
      </c>
      <c r="M1000" s="431">
        <v>1.0</v>
      </c>
      <c r="N1000" s="555"/>
      <c r="O1000" s="431">
        <v>1.0</v>
      </c>
      <c r="P1000" s="431">
        <v>4.0</v>
      </c>
      <c r="Q1000" s="464">
        <v>2.0</v>
      </c>
      <c r="R1000" s="465"/>
      <c r="S1000" s="466">
        <f>IF(ISTEXT($V1000), "TBD", RANK(V1000,$V999:$V1005))</f>
        <v>1</v>
      </c>
      <c r="T1000" s="444">
        <v>1.0</v>
      </c>
      <c r="U1000" s="468" t="b">
        <f>Rankings!$S1000=Rankings!$T1000</f>
        <v>1</v>
      </c>
      <c r="V1000" s="553">
        <f>IF(ISTEXT(Rankings!F1000), "TBD", (RANK($F1000,$F999:$F1005) + IF(ISTEXT($H1000), 0, (RANK($H1000,$H999:$H1005)/10)) + (RANK($G1000,$G999:$G1005)/100)))</f>
        <v>6.66</v>
      </c>
      <c r="W1000" s="153"/>
      <c r="Y1000" s="443"/>
    </row>
    <row r="1001" ht="15.75" customHeight="1">
      <c r="A1001" s="134"/>
      <c r="B1001" s="134"/>
      <c r="C1001" s="134"/>
      <c r="D1001" s="556">
        <f>D999</f>
        <v>46244</v>
      </c>
      <c r="E1001" s="469" t="str">
        <f>$M$1</f>
        <v>Giacomo</v>
      </c>
      <c r="F1001" s="408">
        <f>IFERROR(AVERAGE(Rankings!$K1001:$R1001), "TBD")</f>
        <v>4.666666667</v>
      </c>
      <c r="G1001" s="408">
        <f>IFERROR(_xlfn.STDEV.P(Rankings!$K1001:$R1001), "TBD")</f>
        <v>1.374368542</v>
      </c>
      <c r="H1001" s="408">
        <f>IFERROR(AVERAGE(Rankings!$K1001:$L1001, Rankings!$N1001:$R1001), "TBD")</f>
        <v>5.2</v>
      </c>
      <c r="I1001" s="437" t="s">
        <v>2216</v>
      </c>
      <c r="J1001" s="437" t="s">
        <v>2217</v>
      </c>
      <c r="K1001" s="430">
        <v>4.0</v>
      </c>
      <c r="L1001" s="431">
        <v>5.0</v>
      </c>
      <c r="M1001" s="431">
        <v>2.0</v>
      </c>
      <c r="N1001" s="555"/>
      <c r="O1001" s="431">
        <v>5.0</v>
      </c>
      <c r="P1001" s="431">
        <v>6.0</v>
      </c>
      <c r="Q1001" s="464">
        <v>6.0</v>
      </c>
      <c r="R1001" s="465"/>
      <c r="S1001" s="466">
        <f>IF(ISTEXT($V1001), "TBD", RANK(V1001,$V999:$V1005))</f>
        <v>6</v>
      </c>
      <c r="T1001" s="467">
        <v>1.0</v>
      </c>
      <c r="U1001" s="468" t="b">
        <f>Rankings!$S1001=Rankings!$T1001</f>
        <v>0</v>
      </c>
      <c r="V1001" s="553">
        <f>IF(ISTEXT(Rankings!F1001), "TBD", (RANK($F1001,$F999:$F1005) + IF(ISTEXT($H1001), 0, (RANK($H1001,$H999:$H1005)/10)) + (RANK($G1001,$G999:$G1005)/100)))</f>
        <v>1.14</v>
      </c>
      <c r="W1001" s="153"/>
      <c r="Y1001" s="443"/>
    </row>
    <row r="1002" ht="15.75" customHeight="1">
      <c r="A1002" s="134"/>
      <c r="B1002" s="134"/>
      <c r="C1002" s="134"/>
      <c r="D1002" s="557">
        <f>D999</f>
        <v>46244</v>
      </c>
      <c r="E1002" s="470" t="str">
        <f>$N$1</f>
        <v>Rosey</v>
      </c>
      <c r="F1002" s="411" t="str">
        <f>IFERROR(AVERAGE(Rankings!$K1002:$R1002), "TBD")</f>
        <v>TBD</v>
      </c>
      <c r="G1002" s="411" t="str">
        <f>IFERROR(_xlfn.STDEV.P(Rankings!$K1002:$R1002), "TBD")</f>
        <v>TBD</v>
      </c>
      <c r="H1002" s="411" t="str">
        <f>IFERROR(AVERAGE(Rankings!$K1002:$M1002, Rankings!$O1002:$R1002), "TBD")</f>
        <v>TBD</v>
      </c>
      <c r="I1002" s="438"/>
      <c r="J1002" s="438"/>
      <c r="K1002" s="430"/>
      <c r="L1002" s="566"/>
      <c r="M1002" s="431" t="s">
        <v>2218</v>
      </c>
      <c r="N1002" s="555"/>
      <c r="O1002" s="431" t="s">
        <v>1697</v>
      </c>
      <c r="P1002" s="431" t="s">
        <v>1698</v>
      </c>
      <c r="Q1002" s="464" t="s">
        <v>1766</v>
      </c>
      <c r="R1002" s="465"/>
      <c r="S1002" s="466" t="str">
        <f>IF(ISTEXT($V1002), "TBD", RANK(V1002,$V999:$V1005))</f>
        <v>TBD</v>
      </c>
      <c r="T1002" s="467">
        <v>1.0</v>
      </c>
      <c r="U1002" s="468" t="b">
        <f>Rankings!$S1002=Rankings!$T1002</f>
        <v>0</v>
      </c>
      <c r="V1002" s="553" t="str">
        <f>IF(ISTEXT(Rankings!F1002), "TBD", (RANK($F1002,$F999:$F1005) + IF(ISTEXT($H1002), 0, (RANK($H1002,$H999:$H1005)/10)) + (RANK($G1002,$G999:$G1005)/100)))</f>
        <v>TBD</v>
      </c>
      <c r="W1002" s="153"/>
      <c r="Y1002" s="443"/>
    </row>
    <row r="1003" ht="15.75" customHeight="1">
      <c r="A1003" s="134"/>
      <c r="B1003" s="134"/>
      <c r="C1003" s="134"/>
      <c r="D1003" s="561">
        <f t="shared" ref="D1003:D1005" si="145">D999</f>
        <v>46244</v>
      </c>
      <c r="E1003" s="471" t="str">
        <f>$O$1</f>
        <v>TTAC</v>
      </c>
      <c r="F1003" s="414">
        <f>IFERROR(AVERAGE(Rankings!$K1003:$R1003), "TBD")</f>
        <v>4.5</v>
      </c>
      <c r="G1003" s="414">
        <f>IFERROR(_xlfn.STDEV.P(Rankings!$K1003:$R1003), "TBD")</f>
        <v>1.5</v>
      </c>
      <c r="H1003" s="414">
        <f>IFERROR(AVERAGE(Rankings!$K1003:$N1003, Rankings!$P1003:$R1003), "TBD")</f>
        <v>4.8</v>
      </c>
      <c r="I1003" s="439" t="s">
        <v>2219</v>
      </c>
      <c r="J1003" s="439" t="s">
        <v>2220</v>
      </c>
      <c r="K1003" s="430">
        <v>6.0</v>
      </c>
      <c r="L1003" s="431">
        <v>6.0</v>
      </c>
      <c r="M1003" s="431">
        <v>6.0</v>
      </c>
      <c r="N1003" s="555"/>
      <c r="O1003" s="431">
        <v>3.0</v>
      </c>
      <c r="P1003" s="431">
        <v>3.0</v>
      </c>
      <c r="Q1003" s="464">
        <v>3.0</v>
      </c>
      <c r="R1003" s="465"/>
      <c r="S1003" s="466">
        <f>IF(ISTEXT($V1003), "TBD", RANK(V1003,$V999:$V1005))</f>
        <v>5</v>
      </c>
      <c r="T1003" s="467">
        <v>1.0</v>
      </c>
      <c r="U1003" s="468" t="b">
        <f>Rankings!$S1003=Rankings!$T1003</f>
        <v>0</v>
      </c>
      <c r="V1003" s="553">
        <f>IF(ISTEXT(Rankings!F1003), "TBD", (RANK($F1003,$F999:$F1005) + IF(ISTEXT($H1003), 0, (RANK($H1003,$H999:$H1005)/10)) + (RANK($G1003,$G999:$G1005)/100)))</f>
        <v>2.22</v>
      </c>
      <c r="W1003" s="153"/>
      <c r="Y1003" s="443"/>
    </row>
    <row r="1004" ht="15.75" customHeight="1">
      <c r="A1004" s="134"/>
      <c r="B1004" s="134"/>
      <c r="C1004" s="134"/>
      <c r="D1004" s="562">
        <f t="shared" si="145"/>
        <v>46244</v>
      </c>
      <c r="E1004" s="472" t="str">
        <f>$P$1</f>
        <v>Weston</v>
      </c>
      <c r="F1004" s="418">
        <f>IFERROR(AVERAGE(Rankings!$K1004:$R1004), "TBD")</f>
        <v>3.833333333</v>
      </c>
      <c r="G1004" s="418">
        <f>IFERROR(_xlfn.STDEV.P(Rankings!$K1004:$R1004), "TBD")</f>
        <v>1.572330189</v>
      </c>
      <c r="H1004" s="418">
        <f>IFERROR(AVERAGE(Rankings!$K1004:$O1004, Rankings!$Q1004:$R1004), "TBD")</f>
        <v>4.2</v>
      </c>
      <c r="I1004" s="440" t="s">
        <v>2221</v>
      </c>
      <c r="J1004" s="440" t="s">
        <v>2222</v>
      </c>
      <c r="K1004" s="430">
        <v>3.0</v>
      </c>
      <c r="L1004" s="431">
        <v>2.0</v>
      </c>
      <c r="M1004" s="431">
        <v>5.0</v>
      </c>
      <c r="N1004" s="555"/>
      <c r="O1004" s="431">
        <v>6.0</v>
      </c>
      <c r="P1004" s="431">
        <v>2.0</v>
      </c>
      <c r="Q1004" s="464">
        <v>5.0</v>
      </c>
      <c r="R1004" s="465"/>
      <c r="S1004" s="466">
        <f>IF(ISTEXT($V1004), "TBD", RANK(V1004,$V999:$V1005))</f>
        <v>4</v>
      </c>
      <c r="T1004" s="467">
        <v>1.0</v>
      </c>
      <c r="U1004" s="468" t="b">
        <f>Rankings!$S1004=Rankings!$T1004</f>
        <v>0</v>
      </c>
      <c r="V1004" s="553">
        <f>IF(ISTEXT(Rankings!F1004), "TBD", (RANK($F1004,$F999:$F1005) + IF(ISTEXT($H1004), 0, (RANK($H1004,$H999:$H1005)/10)) + (RANK($G1004,$G999:$G1005)/100)))</f>
        <v>3.31</v>
      </c>
      <c r="W1004" s="153"/>
      <c r="Y1004" s="443"/>
    </row>
    <row r="1005" ht="15.75" customHeight="1">
      <c r="A1005" s="189"/>
      <c r="B1005" s="189"/>
      <c r="C1005" s="189"/>
      <c r="D1005" s="563">
        <f t="shared" si="145"/>
        <v>46244</v>
      </c>
      <c r="E1005" s="230" t="str">
        <f>$Q$1</f>
        <v>Flocco</v>
      </c>
      <c r="F1005" s="474">
        <f>IFERROR(AVERAGE(Rankings!$K1005:$R1005), "TBD")</f>
        <v>3.333333333</v>
      </c>
      <c r="G1005" s="474">
        <f>IFERROR(_xlfn.STDEV.P(Rankings!$K1005:$R1005), "TBD")</f>
        <v>1.490711985</v>
      </c>
      <c r="H1005" s="474">
        <f>IFERROR(AVERAGE(Rankings!$K1005:$P1005, Rankings!$R1005), "TBD")</f>
        <v>3.8</v>
      </c>
      <c r="I1005" s="475" t="s">
        <v>2223</v>
      </c>
      <c r="J1005" s="475" t="s">
        <v>289</v>
      </c>
      <c r="K1005" s="430">
        <v>5.0</v>
      </c>
      <c r="L1005" s="431">
        <v>3.0</v>
      </c>
      <c r="M1005" s="431">
        <v>4.0</v>
      </c>
      <c r="N1005" s="555"/>
      <c r="O1005" s="431">
        <v>2.0</v>
      </c>
      <c r="P1005" s="431">
        <v>5.0</v>
      </c>
      <c r="Q1005" s="464">
        <v>1.0</v>
      </c>
      <c r="R1005" s="465"/>
      <c r="S1005" s="466">
        <f>IF(ISTEXT($V1005), "TBD", RANK(V1005,$V999:$V1005))</f>
        <v>3</v>
      </c>
      <c r="T1005" s="467">
        <v>1.0</v>
      </c>
      <c r="U1005" s="468" t="b">
        <f>Rankings!$S1005=Rankings!$T1005</f>
        <v>0</v>
      </c>
      <c r="V1005" s="553">
        <f>IF(ISTEXT(Rankings!F1005), "TBD", (RANK($F1005,$F999:$F1005) + IF(ISTEXT($H1005), 0, (RANK($H1005,$H999:$H1005)/10)) + (RANK($G1005,$G999:$G1005)/100)))</f>
        <v>4.43</v>
      </c>
      <c r="W1005" s="208"/>
      <c r="Y1005" s="443"/>
    </row>
    <row r="1006" ht="15.75" customHeight="1">
      <c r="A1006" s="103">
        <v>46246.0</v>
      </c>
      <c r="B1006" s="453"/>
      <c r="C1006" s="454" t="str">
        <f t="array" ref="C1006">INDEX(Rankings!$E1006:$E1012, MATCH(1, (Rankings!$D1006:$D1012=$A1006)*(Rankings!$U1006:$U1012=TRUE()), 0))</f>
        <v>Giacomo</v>
      </c>
      <c r="D1006" s="551">
        <f>A1006</f>
        <v>46246</v>
      </c>
      <c r="E1006" s="455" t="str">
        <f>$K$1</f>
        <v>Logan</v>
      </c>
      <c r="F1006" s="400">
        <f>IFERROR(AVERAGE(Rankings!$K1006:$R1006), "TBD")</f>
        <v>4</v>
      </c>
      <c r="G1006" s="400">
        <f>IFERROR(_xlfn.STDEV.P(Rankings!$K1006:$R1006), "TBD")</f>
        <v>0.8164965809</v>
      </c>
      <c r="H1006" s="400">
        <f>IFERROR(AVERAGE(Rankings!$L1006:$R1006), "TBD")</f>
        <v>4.2</v>
      </c>
      <c r="I1006" s="421" t="s">
        <v>2224</v>
      </c>
      <c r="J1006" s="421" t="s">
        <v>2225</v>
      </c>
      <c r="K1006" s="422">
        <v>3.0</v>
      </c>
      <c r="L1006" s="423">
        <v>5.0</v>
      </c>
      <c r="M1006" s="423">
        <v>4.0</v>
      </c>
      <c r="N1006" s="555"/>
      <c r="O1006" s="423">
        <v>5.0</v>
      </c>
      <c r="P1006" s="423">
        <v>4.0</v>
      </c>
      <c r="Q1006" s="456">
        <v>3.0</v>
      </c>
      <c r="R1006" s="457"/>
      <c r="S1006" s="458">
        <f>IF(ISTEXT($V1006), "TBD", RANK(V1006,$V1006:$V1012))</f>
        <v>4</v>
      </c>
      <c r="T1006" s="576">
        <v>1.0</v>
      </c>
      <c r="U1006" s="460" t="b">
        <f>Rankings!$S1006=Rankings!$T1006</f>
        <v>0</v>
      </c>
      <c r="V1006" s="553">
        <f>IF(ISTEXT(Rankings!F1006), "TBD", (RANK($F1006,$F1006:$F1012) + IF(ISTEXT($H1006), 0, (RANK($H1006,$H1006:$H1012)/10)) + (RANK($G1006,$G1006:$G1012)/100)))</f>
        <v>3.36</v>
      </c>
      <c r="W1006" s="329"/>
      <c r="Y1006" s="443"/>
    </row>
    <row r="1007" ht="15.75" customHeight="1">
      <c r="A1007" s="134"/>
      <c r="B1007" s="134"/>
      <c r="C1007" s="134"/>
      <c r="D1007" s="554">
        <f>D1006</f>
        <v>46246</v>
      </c>
      <c r="E1007" s="463" t="str">
        <f>$L$1</f>
        <v>Parker</v>
      </c>
      <c r="F1007" s="404">
        <f>IFERROR(AVERAGE(Rankings!$K1007:$R1007), "TBD")</f>
        <v>4.166666667</v>
      </c>
      <c r="G1007" s="404">
        <f>IFERROR(_xlfn.STDEV.P(Rankings!$K1007:$R1007), "TBD")</f>
        <v>1.572330189</v>
      </c>
      <c r="H1007" s="404">
        <f>IFERROR(AVERAGE(Rankings!$K1007, Rankings!$M1007:$R1007), "TBD")</f>
        <v>4.6</v>
      </c>
      <c r="I1007" s="429" t="s">
        <v>2226</v>
      </c>
      <c r="J1007" s="429" t="s">
        <v>2227</v>
      </c>
      <c r="K1007" s="430">
        <v>5.0</v>
      </c>
      <c r="L1007" s="431">
        <v>2.0</v>
      </c>
      <c r="M1007" s="431">
        <v>3.0</v>
      </c>
      <c r="N1007" s="555"/>
      <c r="O1007" s="431">
        <v>3.0</v>
      </c>
      <c r="P1007" s="431">
        <v>6.0</v>
      </c>
      <c r="Q1007" s="464">
        <v>6.0</v>
      </c>
      <c r="R1007" s="465"/>
      <c r="S1007" s="466">
        <f>IF(ISTEXT($V1007), "TBD", RANK(V1007,$V1006:$V1012))</f>
        <v>5</v>
      </c>
      <c r="T1007" s="444">
        <v>1.0</v>
      </c>
      <c r="U1007" s="468" t="b">
        <f>Rankings!$S1007=Rankings!$T1007</f>
        <v>0</v>
      </c>
      <c r="V1007" s="553">
        <f>IF(ISTEXT(Rankings!F1007), "TBD", (RANK($F1007,$F1006:$F1012) + IF(ISTEXT($H1007), 0, (RANK($H1007,$H1006:$H1012)/10)) + (RANK($G1007,$G1006:$G1012)/100)))</f>
        <v>2.22</v>
      </c>
      <c r="W1007" s="153"/>
      <c r="Y1007" s="443"/>
    </row>
    <row r="1008" ht="15.75" customHeight="1">
      <c r="A1008" s="134"/>
      <c r="B1008" s="134"/>
      <c r="C1008" s="134"/>
      <c r="D1008" s="556">
        <f>D1006</f>
        <v>46246</v>
      </c>
      <c r="E1008" s="469" t="str">
        <f>$M$1</f>
        <v>Giacomo</v>
      </c>
      <c r="F1008" s="408">
        <f>IFERROR(AVERAGE(Rankings!$K1008:$R1008), "TBD")</f>
        <v>1.666666667</v>
      </c>
      <c r="G1008" s="408">
        <f>IFERROR(_xlfn.STDEV.P(Rankings!$K1008:$R1008), "TBD")</f>
        <v>1.105541597</v>
      </c>
      <c r="H1008" s="408">
        <f>IFERROR(AVERAGE(Rankings!$K1008:$L1008, Rankings!$N1008:$R1008), "TBD")</f>
        <v>1.6</v>
      </c>
      <c r="I1008" s="437" t="s">
        <v>2228</v>
      </c>
      <c r="J1008" s="437" t="s">
        <v>2229</v>
      </c>
      <c r="K1008" s="430">
        <v>1.0</v>
      </c>
      <c r="L1008" s="431">
        <v>1.0</v>
      </c>
      <c r="M1008" s="431">
        <v>2.0</v>
      </c>
      <c r="N1008" s="555"/>
      <c r="O1008" s="431">
        <v>1.0</v>
      </c>
      <c r="P1008" s="431">
        <v>1.0</v>
      </c>
      <c r="Q1008" s="464">
        <v>4.0</v>
      </c>
      <c r="R1008" s="465"/>
      <c r="S1008" s="466">
        <f>IF(ISTEXT($V1008), "TBD", RANK(V1008,$V1006:$V1012))</f>
        <v>1</v>
      </c>
      <c r="T1008" s="467">
        <v>1.0</v>
      </c>
      <c r="U1008" s="468" t="b">
        <f>Rankings!$S1008=Rankings!$T1008</f>
        <v>1</v>
      </c>
      <c r="V1008" s="553">
        <f>IF(ISTEXT(Rankings!F1008), "TBD", (RANK($F1008,$F1006:$F1012) + IF(ISTEXT($H1008), 0, (RANK($H1008,$H1006:$H1012)/10)) + (RANK($G1008,$G1006:$G1012)/100)))</f>
        <v>6.65</v>
      </c>
      <c r="W1008" s="153"/>
      <c r="Y1008" s="443"/>
    </row>
    <row r="1009" ht="15.75" customHeight="1">
      <c r="A1009" s="134"/>
      <c r="B1009" s="134"/>
      <c r="C1009" s="134"/>
      <c r="D1009" s="557">
        <f>D1006</f>
        <v>46246</v>
      </c>
      <c r="E1009" s="470" t="str">
        <f>$N$1</f>
        <v>Rosey</v>
      </c>
      <c r="F1009" s="411" t="str">
        <f>IFERROR(AVERAGE(Rankings!$K1009:$R1009), "TBD")</f>
        <v>TBD</v>
      </c>
      <c r="G1009" s="411" t="str">
        <f>IFERROR(_xlfn.STDEV.P(Rankings!$K1009:$R1009), "TBD")</f>
        <v>TBD</v>
      </c>
      <c r="H1009" s="411" t="str">
        <f>IFERROR(AVERAGE(Rankings!$K1009:$M1009, Rankings!$O1009:$R1009), "TBD")</f>
        <v>TBD</v>
      </c>
      <c r="I1009" s="438"/>
      <c r="J1009" s="438"/>
      <c r="K1009" s="430"/>
      <c r="L1009" s="566"/>
      <c r="M1009" s="431" t="s">
        <v>2230</v>
      </c>
      <c r="N1009" s="555"/>
      <c r="O1009" s="431" t="s">
        <v>1697</v>
      </c>
      <c r="P1009" s="431" t="s">
        <v>1698</v>
      </c>
      <c r="Q1009" s="464" t="s">
        <v>1766</v>
      </c>
      <c r="R1009" s="465"/>
      <c r="S1009" s="466" t="str">
        <f>IF(ISTEXT($V1009), "TBD", RANK(V1009,$V1006:$V1012))</f>
        <v>TBD</v>
      </c>
      <c r="T1009" s="467">
        <v>1.0</v>
      </c>
      <c r="U1009" s="468" t="b">
        <f>Rankings!$S1009=Rankings!$T1009</f>
        <v>0</v>
      </c>
      <c r="V1009" s="553" t="str">
        <f>IF(ISTEXT(Rankings!F1009), "TBD", (RANK($F1009,$F1006:$F1012) + IF(ISTEXT($H1009), 0, (RANK($H1009,$H1006:$H1012)/10)) + (RANK($G1009,$G1006:$G1012)/100)))</f>
        <v>TBD</v>
      </c>
      <c r="W1009" s="153"/>
      <c r="Y1009" s="443"/>
    </row>
    <row r="1010" ht="15.75" customHeight="1">
      <c r="A1010" s="134"/>
      <c r="B1010" s="134"/>
      <c r="C1010" s="134"/>
      <c r="D1010" s="561">
        <f t="shared" ref="D1010:D1012" si="146">D1006</f>
        <v>46246</v>
      </c>
      <c r="E1010" s="471" t="str">
        <f>$O$1</f>
        <v>TTAC</v>
      </c>
      <c r="F1010" s="414">
        <f>IFERROR(AVERAGE(Rankings!$K1010:$R1010), "TBD")</f>
        <v>3.5</v>
      </c>
      <c r="G1010" s="414">
        <f>IFERROR(_xlfn.STDEV.P(Rankings!$K1010:$R1010), "TBD")</f>
        <v>1.707825128</v>
      </c>
      <c r="H1010" s="414">
        <f>IFERROR(AVERAGE(Rankings!$K1010:$N1010, Rankings!$P1010:$R1010), "TBD")</f>
        <v>3.8</v>
      </c>
      <c r="I1010" s="439" t="s">
        <v>2231</v>
      </c>
      <c r="J1010" s="439" t="s">
        <v>2232</v>
      </c>
      <c r="K1010" s="430">
        <v>6.0</v>
      </c>
      <c r="L1010" s="431">
        <v>4.0</v>
      </c>
      <c r="M1010" s="431">
        <v>5.0</v>
      </c>
      <c r="N1010" s="555"/>
      <c r="O1010" s="431">
        <v>2.0</v>
      </c>
      <c r="P1010" s="431">
        <v>3.0</v>
      </c>
      <c r="Q1010" s="464">
        <v>1.0</v>
      </c>
      <c r="R1010" s="465"/>
      <c r="S1010" s="466">
        <f>IF(ISTEXT($V1010), "TBD", RANK(V1010,$V1006:$V1012))</f>
        <v>3</v>
      </c>
      <c r="T1010" s="467">
        <v>1.0</v>
      </c>
      <c r="U1010" s="468" t="b">
        <f>Rankings!$S1010=Rankings!$T1010</f>
        <v>0</v>
      </c>
      <c r="V1010" s="553">
        <f>IF(ISTEXT(Rankings!F1010), "TBD", (RANK($F1010,$F1006:$F1012) + IF(ISTEXT($H1010), 0, (RANK($H1010,$H1006:$H1012)/10)) + (RANK($G1010,$G1006:$G1012)/100)))</f>
        <v>4.41</v>
      </c>
      <c r="W1010" s="153"/>
      <c r="Y1010" s="443"/>
    </row>
    <row r="1011" ht="15.75" customHeight="1">
      <c r="A1011" s="134"/>
      <c r="B1011" s="134"/>
      <c r="C1011" s="134"/>
      <c r="D1011" s="562">
        <f t="shared" si="146"/>
        <v>46246</v>
      </c>
      <c r="E1011" s="472" t="str">
        <f>$P$1</f>
        <v>Weston</v>
      </c>
      <c r="F1011" s="418">
        <f>IFERROR(AVERAGE(Rankings!$K1011:$R1011), "TBD")</f>
        <v>2.833333333</v>
      </c>
      <c r="G1011" s="418">
        <f>IFERROR(_xlfn.STDEV.P(Rankings!$K1011:$R1011), "TBD")</f>
        <v>1.343709625</v>
      </c>
      <c r="H1011" s="418">
        <f>IFERROR(AVERAGE(Rankings!$K1011:$O1011, Rankings!$Q1011:$R1011), "TBD")</f>
        <v>3</v>
      </c>
      <c r="I1011" s="440" t="s">
        <v>2233</v>
      </c>
      <c r="J1011" s="440" t="s">
        <v>2234</v>
      </c>
      <c r="K1011" s="430">
        <v>2.0</v>
      </c>
      <c r="L1011" s="431">
        <v>3.0</v>
      </c>
      <c r="M1011" s="431">
        <v>1.0</v>
      </c>
      <c r="N1011" s="555"/>
      <c r="O1011" s="431">
        <v>4.0</v>
      </c>
      <c r="P1011" s="431">
        <v>2.0</v>
      </c>
      <c r="Q1011" s="464">
        <v>5.0</v>
      </c>
      <c r="R1011" s="465"/>
      <c r="S1011" s="466">
        <f>IF(ISTEXT($V1011), "TBD", RANK(V1011,$V1006:$V1012))</f>
        <v>2</v>
      </c>
      <c r="T1011" s="467">
        <v>1.0</v>
      </c>
      <c r="U1011" s="468" t="b">
        <f>Rankings!$S1011=Rankings!$T1011</f>
        <v>0</v>
      </c>
      <c r="V1011" s="553">
        <f>IF(ISTEXT(Rankings!F1011), "TBD", (RANK($F1011,$F1006:$F1012) + IF(ISTEXT($H1011), 0, (RANK($H1011,$H1006:$H1012)/10)) + (RANK($G1011,$G1006:$G1012)/100)))</f>
        <v>5.54</v>
      </c>
      <c r="W1011" s="153"/>
      <c r="Y1011" s="443"/>
    </row>
    <row r="1012" ht="15.75" customHeight="1">
      <c r="A1012" s="189"/>
      <c r="B1012" s="189"/>
      <c r="C1012" s="189"/>
      <c r="D1012" s="563">
        <f t="shared" si="146"/>
        <v>46246</v>
      </c>
      <c r="E1012" s="230" t="str">
        <f>$Q$1</f>
        <v>Flocco</v>
      </c>
      <c r="F1012" s="474">
        <f>IFERROR(AVERAGE(Rankings!$K1012:$R1012), "TBD")</f>
        <v>4.833333333</v>
      </c>
      <c r="G1012" s="474">
        <f>IFERROR(_xlfn.STDEV.P(Rankings!$K1012:$R1012), "TBD")</f>
        <v>1.462494065</v>
      </c>
      <c r="H1012" s="474">
        <f>IFERROR(AVERAGE(Rankings!$K1012:$P1012, Rankings!$R1012), "TBD")</f>
        <v>5.4</v>
      </c>
      <c r="I1012" s="475" t="s">
        <v>2235</v>
      </c>
      <c r="J1012" s="475" t="s">
        <v>2158</v>
      </c>
      <c r="K1012" s="430">
        <v>4.0</v>
      </c>
      <c r="L1012" s="431">
        <v>6.0</v>
      </c>
      <c r="M1012" s="431">
        <v>6.0</v>
      </c>
      <c r="N1012" s="555"/>
      <c r="O1012" s="431">
        <v>6.0</v>
      </c>
      <c r="P1012" s="431">
        <v>5.0</v>
      </c>
      <c r="Q1012" s="464">
        <v>2.0</v>
      </c>
      <c r="R1012" s="465"/>
      <c r="S1012" s="466">
        <f>IF(ISTEXT($V1012), "TBD", RANK(V1012,$V1006:$V1012))</f>
        <v>6</v>
      </c>
      <c r="T1012" s="467">
        <v>1.0</v>
      </c>
      <c r="U1012" s="468" t="b">
        <f>Rankings!$S1012=Rankings!$T1012</f>
        <v>0</v>
      </c>
      <c r="V1012" s="553">
        <f>IF(ISTEXT(Rankings!F1012), "TBD", (RANK($F1012,$F1006:$F1012) + IF(ISTEXT($H1012), 0, (RANK($H1012,$H1006:$H1012)/10)) + (RANK($G1012,$G1006:$G1012)/100)))</f>
        <v>1.13</v>
      </c>
      <c r="W1012" s="208"/>
      <c r="Y1012" s="443"/>
    </row>
    <row r="1013" ht="15.75" customHeight="1">
      <c r="A1013" s="103">
        <v>46248.0</v>
      </c>
      <c r="B1013" s="453"/>
      <c r="C1013" s="454" t="str">
        <f t="array" ref="C1013">INDEX(Rankings!$E1013:$E1019, MATCH(1, (Rankings!$D1013:$D1019=$A1013)*(Rankings!$U1013:$U1019=TRUE()), 0))</f>
        <v>Logan</v>
      </c>
      <c r="D1013" s="551">
        <f>A1013</f>
        <v>46248</v>
      </c>
      <c r="E1013" s="455" t="str">
        <f>$K$1</f>
        <v>Logan</v>
      </c>
      <c r="F1013" s="400">
        <f>IFERROR(AVERAGE(Rankings!$K1013:$R1013), "TBD")</f>
        <v>2.5</v>
      </c>
      <c r="G1013" s="400">
        <f>IFERROR(_xlfn.STDEV.P(Rankings!$K1013:$R1013), "TBD")</f>
        <v>0.9574271078</v>
      </c>
      <c r="H1013" s="400">
        <f>IFERROR(AVERAGE(Rankings!$L1013:$R1013), "TBD")</f>
        <v>2.8</v>
      </c>
      <c r="I1013" s="421" t="s">
        <v>2236</v>
      </c>
      <c r="J1013" s="421" t="s">
        <v>2237</v>
      </c>
      <c r="K1013" s="422">
        <v>1.0</v>
      </c>
      <c r="L1013" s="423">
        <v>4.0</v>
      </c>
      <c r="M1013" s="423">
        <v>2.0</v>
      </c>
      <c r="N1013" s="555"/>
      <c r="O1013" s="423">
        <v>3.0</v>
      </c>
      <c r="P1013" s="423">
        <v>3.0</v>
      </c>
      <c r="Q1013" s="456">
        <v>2.0</v>
      </c>
      <c r="R1013" s="457"/>
      <c r="S1013" s="458">
        <f>IF(ISTEXT($V1013), "TBD", RANK(V1013,$V1013:$V1019))</f>
        <v>1</v>
      </c>
      <c r="T1013" s="576">
        <v>1.0</v>
      </c>
      <c r="U1013" s="460" t="b">
        <f>Rankings!$S1013=Rankings!$T1013</f>
        <v>1</v>
      </c>
      <c r="V1013" s="553">
        <f>IF(ISTEXT(Rankings!F1013), "TBD", (RANK($F1013,$F1013:$F1019) + IF(ISTEXT($H1013), 0, (RANK($H1013,$H1013:$H1019)/10)) + (RANK($G1013,$G1013:$G1019)/100)))</f>
        <v>6.66</v>
      </c>
      <c r="W1013" s="329"/>
      <c r="Y1013" s="443"/>
    </row>
    <row r="1014" ht="15.75" customHeight="1">
      <c r="A1014" s="134"/>
      <c r="B1014" s="134"/>
      <c r="C1014" s="134"/>
      <c r="D1014" s="554">
        <f>D1013</f>
        <v>46248</v>
      </c>
      <c r="E1014" s="463" t="str">
        <f>$L$1</f>
        <v>Parker</v>
      </c>
      <c r="F1014" s="404">
        <f>IFERROR(AVERAGE(Rankings!$K1014:$R1014), "TBD")</f>
        <v>3.333333333</v>
      </c>
      <c r="G1014" s="404">
        <f>IFERROR(_xlfn.STDEV.P(Rankings!$K1014:$R1014), "TBD")</f>
        <v>1.885618083</v>
      </c>
      <c r="H1014" s="404">
        <f>IFERROR(AVERAGE(Rankings!$K1014, Rankings!$M1014:$R1014), "TBD")</f>
        <v>3.8</v>
      </c>
      <c r="I1014" s="429" t="s">
        <v>2238</v>
      </c>
      <c r="J1014" s="429" t="s">
        <v>2239</v>
      </c>
      <c r="K1014" s="430">
        <v>3.0</v>
      </c>
      <c r="L1014" s="431">
        <v>1.0</v>
      </c>
      <c r="M1014" s="431">
        <v>5.0</v>
      </c>
      <c r="N1014" s="555"/>
      <c r="O1014" s="431">
        <v>1.0</v>
      </c>
      <c r="P1014" s="431">
        <v>6.0</v>
      </c>
      <c r="Q1014" s="464">
        <v>4.0</v>
      </c>
      <c r="R1014" s="465"/>
      <c r="S1014" s="466">
        <f>IF(ISTEXT($V1014), "TBD", RANK(V1014,$V1013:$V1019))</f>
        <v>2</v>
      </c>
      <c r="T1014" s="444">
        <v>1.0</v>
      </c>
      <c r="U1014" s="468" t="b">
        <f>Rankings!$S1014=Rankings!$T1014</f>
        <v>0</v>
      </c>
      <c r="V1014" s="553">
        <f>IF(ISTEXT(Rankings!F1014), "TBD", (RANK($F1014,$F1013:$F1019) + IF(ISTEXT($H1014), 0, (RANK($H1014,$H1013:$H1019)/10)) + (RANK($G1014,$G1013:$G1019)/100)))</f>
        <v>5.51</v>
      </c>
      <c r="W1014" s="153"/>
      <c r="Y1014" s="443"/>
    </row>
    <row r="1015" ht="15.75" customHeight="1">
      <c r="A1015" s="134"/>
      <c r="B1015" s="134"/>
      <c r="C1015" s="134"/>
      <c r="D1015" s="556">
        <f>D1013</f>
        <v>46248</v>
      </c>
      <c r="E1015" s="469" t="str">
        <f>$M$1</f>
        <v>Giacomo</v>
      </c>
      <c r="F1015" s="408">
        <f>IFERROR(AVERAGE(Rankings!$K1015:$R1015), "TBD")</f>
        <v>4.166666667</v>
      </c>
      <c r="G1015" s="408">
        <f>IFERROR(_xlfn.STDEV.P(Rankings!$K1015:$R1015), "TBD")</f>
        <v>1.572330189</v>
      </c>
      <c r="H1015" s="408">
        <f>IFERROR(AVERAGE(Rankings!$K1015:$L1015, Rankings!$N1015:$R1015), "TBD")</f>
        <v>4.8</v>
      </c>
      <c r="I1015" s="437" t="s">
        <v>2240</v>
      </c>
      <c r="J1015" s="437" t="s">
        <v>2241</v>
      </c>
      <c r="K1015" s="430">
        <v>4.0</v>
      </c>
      <c r="L1015" s="431">
        <v>5.0</v>
      </c>
      <c r="M1015" s="431">
        <v>1.0</v>
      </c>
      <c r="N1015" s="555"/>
      <c r="O1015" s="431">
        <v>5.0</v>
      </c>
      <c r="P1015" s="431">
        <v>4.0</v>
      </c>
      <c r="Q1015" s="464">
        <v>6.0</v>
      </c>
      <c r="R1015" s="465"/>
      <c r="S1015" s="466">
        <f>IF(ISTEXT($V1015), "TBD", RANK(V1015,$V1013:$V1019))</f>
        <v>6</v>
      </c>
      <c r="T1015" s="467">
        <v>1.0</v>
      </c>
      <c r="U1015" s="468" t="b">
        <f>Rankings!$S1015=Rankings!$T1015</f>
        <v>0</v>
      </c>
      <c r="V1015" s="553">
        <f>IF(ISTEXT(Rankings!F1015), "TBD", (RANK($F1015,$F1013:$F1019) + IF(ISTEXT($H1015), 0, (RANK($H1015,$H1013:$H1019)/10)) + (RANK($G1015,$G1013:$G1019)/100)))</f>
        <v>1.15</v>
      </c>
      <c r="W1015" s="153"/>
      <c r="Y1015" s="443"/>
    </row>
    <row r="1016" ht="15.75" customHeight="1">
      <c r="A1016" s="134"/>
      <c r="B1016" s="134"/>
      <c r="C1016" s="134"/>
      <c r="D1016" s="557">
        <f>D1013</f>
        <v>46248</v>
      </c>
      <c r="E1016" s="470" t="str">
        <f>$N$1</f>
        <v>Rosey</v>
      </c>
      <c r="F1016" s="411" t="str">
        <f>IFERROR(AVERAGE(Rankings!$K1016:$R1016), "TBD")</f>
        <v>TBD</v>
      </c>
      <c r="G1016" s="411" t="str">
        <f>IFERROR(_xlfn.STDEV.P(Rankings!$K1016:$R1016), "TBD")</f>
        <v>TBD</v>
      </c>
      <c r="H1016" s="411" t="str">
        <f>IFERROR(AVERAGE(Rankings!$K1016:$M1016, Rankings!$O1016:$R1016), "TBD")</f>
        <v>TBD</v>
      </c>
      <c r="I1016" s="438"/>
      <c r="J1016" s="438"/>
      <c r="K1016" s="430"/>
      <c r="L1016" s="566"/>
      <c r="M1016" s="431" t="s">
        <v>2242</v>
      </c>
      <c r="N1016" s="555"/>
      <c r="O1016" s="431" t="s">
        <v>1697</v>
      </c>
      <c r="P1016" s="431" t="s">
        <v>1698</v>
      </c>
      <c r="Q1016" s="464" t="s">
        <v>1766</v>
      </c>
      <c r="R1016" s="465"/>
      <c r="S1016" s="466" t="str">
        <f>IF(ISTEXT($V1016), "TBD", RANK(V1016,$V1013:$V1019))</f>
        <v>TBD</v>
      </c>
      <c r="T1016" s="467">
        <v>1.0</v>
      </c>
      <c r="U1016" s="468" t="b">
        <f>Rankings!$S1016=Rankings!$T1016</f>
        <v>0</v>
      </c>
      <c r="V1016" s="553" t="str">
        <f>IF(ISTEXT(Rankings!F1016), "TBD", (RANK($F1016,$F1013:$F1019) + IF(ISTEXT($H1016), 0, (RANK($H1016,$H1013:$H1019)/10)) + (RANK($G1016,$G1013:$G1019)/100)))</f>
        <v>TBD</v>
      </c>
      <c r="W1016" s="153"/>
      <c r="Y1016" s="443"/>
    </row>
    <row r="1017" ht="15.75" customHeight="1">
      <c r="A1017" s="134"/>
      <c r="B1017" s="134"/>
      <c r="C1017" s="134"/>
      <c r="D1017" s="561">
        <f t="shared" ref="D1017:D1019" si="147">D1013</f>
        <v>46248</v>
      </c>
      <c r="E1017" s="471" t="str">
        <f>$O$1</f>
        <v>TTAC</v>
      </c>
      <c r="F1017" s="414">
        <f>IFERROR(AVERAGE(Rankings!$K1017:$R1017), "TBD")</f>
        <v>4</v>
      </c>
      <c r="G1017" s="414">
        <f>IFERROR(_xlfn.STDEV.P(Rankings!$K1017:$R1017), "TBD")</f>
        <v>1.732050808</v>
      </c>
      <c r="H1017" s="414">
        <f>IFERROR(AVERAGE(Rankings!$K1017:$N1017, Rankings!$P1017:$R1017), "TBD")</f>
        <v>4.4</v>
      </c>
      <c r="I1017" s="439" t="s">
        <v>2243</v>
      </c>
      <c r="J1017" s="439" t="s">
        <v>2244</v>
      </c>
      <c r="K1017" s="430">
        <v>5.0</v>
      </c>
      <c r="L1017" s="431">
        <v>6.0</v>
      </c>
      <c r="M1017" s="431">
        <v>6.0</v>
      </c>
      <c r="N1017" s="555"/>
      <c r="O1017" s="431">
        <v>2.0</v>
      </c>
      <c r="P1017" s="431">
        <v>2.0</v>
      </c>
      <c r="Q1017" s="464">
        <v>3.0</v>
      </c>
      <c r="R1017" s="465"/>
      <c r="S1017" s="466">
        <f>IF(ISTEXT($V1017), "TBD", RANK(V1017,$V1013:$V1019))</f>
        <v>5</v>
      </c>
      <c r="T1017" s="467">
        <v>1.0</v>
      </c>
      <c r="U1017" s="468" t="b">
        <f>Rankings!$S1017=Rankings!$T1017</f>
        <v>0</v>
      </c>
      <c r="V1017" s="553">
        <f>IF(ISTEXT(Rankings!F1017), "TBD", (RANK($F1017,$F1013:$F1019) + IF(ISTEXT($H1017), 0, (RANK($H1017,$H1013:$H1019)/10)) + (RANK($G1017,$G1013:$G1019)/100)))</f>
        <v>2.22</v>
      </c>
      <c r="W1017" s="153"/>
      <c r="Y1017" s="443"/>
    </row>
    <row r="1018" ht="15.75" customHeight="1">
      <c r="A1018" s="134"/>
      <c r="B1018" s="134"/>
      <c r="C1018" s="134"/>
      <c r="D1018" s="562">
        <f t="shared" si="147"/>
        <v>46248</v>
      </c>
      <c r="E1018" s="472" t="str">
        <f>$P$1</f>
        <v>Weston</v>
      </c>
      <c r="F1018" s="418">
        <f>IFERROR(AVERAGE(Rankings!$K1018:$R1018), "TBD")</f>
        <v>3.5</v>
      </c>
      <c r="G1018" s="418">
        <f>IFERROR(_xlfn.STDEV.P(Rankings!$K1018:$R1018), "TBD")</f>
        <v>1.707825128</v>
      </c>
      <c r="H1018" s="418">
        <f>IFERROR(AVERAGE(Rankings!$K1018:$O1018, Rankings!$Q1018:$R1018), "TBD")</f>
        <v>4</v>
      </c>
      <c r="I1018" s="440" t="s">
        <v>2245</v>
      </c>
      <c r="J1018" s="440" t="s">
        <v>2246</v>
      </c>
      <c r="K1018" s="430">
        <v>2.0</v>
      </c>
      <c r="L1018" s="431">
        <v>3.0</v>
      </c>
      <c r="M1018" s="431">
        <v>4.0</v>
      </c>
      <c r="N1018" s="555"/>
      <c r="O1018" s="431">
        <v>6.0</v>
      </c>
      <c r="P1018" s="431">
        <v>1.0</v>
      </c>
      <c r="Q1018" s="464">
        <v>5.0</v>
      </c>
      <c r="R1018" s="465"/>
      <c r="S1018" s="466">
        <f>IF(ISTEXT($V1018), "TBD", RANK(V1018,$V1013:$V1019))</f>
        <v>3</v>
      </c>
      <c r="T1018" s="467">
        <v>1.0</v>
      </c>
      <c r="U1018" s="468" t="b">
        <f>Rankings!$S1018=Rankings!$T1018</f>
        <v>0</v>
      </c>
      <c r="V1018" s="553">
        <f>IF(ISTEXT(Rankings!F1018), "TBD", (RANK($F1018,$F1013:$F1019) + IF(ISTEXT($H1018), 0, (RANK($H1018,$H1013:$H1019)/10)) + (RANK($G1018,$G1013:$G1019)/100)))</f>
        <v>3.33</v>
      </c>
      <c r="W1018" s="153"/>
      <c r="Y1018" s="443"/>
    </row>
    <row r="1019" ht="15.75" customHeight="1">
      <c r="A1019" s="189"/>
      <c r="B1019" s="189"/>
      <c r="C1019" s="189"/>
      <c r="D1019" s="563">
        <f t="shared" si="147"/>
        <v>46248</v>
      </c>
      <c r="E1019" s="230" t="str">
        <f>$Q$1</f>
        <v>Flocco</v>
      </c>
      <c r="F1019" s="474">
        <f>IFERROR(AVERAGE(Rankings!$K1019:$R1019), "TBD")</f>
        <v>3.5</v>
      </c>
      <c r="G1019" s="474">
        <f>IFERROR(_xlfn.STDEV.P(Rankings!$K1019:$R1019), "TBD")</f>
        <v>1.707825128</v>
      </c>
      <c r="H1019" s="474">
        <f>IFERROR(AVERAGE(Rankings!$K1019:$P1019, Rankings!$R1019), "TBD")</f>
        <v>4</v>
      </c>
      <c r="I1019" s="475" t="s">
        <v>2247</v>
      </c>
      <c r="J1019" s="475" t="s">
        <v>2050</v>
      </c>
      <c r="K1019" s="430">
        <v>6.0</v>
      </c>
      <c r="L1019" s="431">
        <v>2.0</v>
      </c>
      <c r="M1019" s="431">
        <v>3.0</v>
      </c>
      <c r="N1019" s="555"/>
      <c r="O1019" s="431">
        <v>4.0</v>
      </c>
      <c r="P1019" s="431">
        <v>5.0</v>
      </c>
      <c r="Q1019" s="464">
        <v>1.0</v>
      </c>
      <c r="R1019" s="465"/>
      <c r="S1019" s="466">
        <f>IF(ISTEXT($V1019), "TBD", RANK(V1019,$V1013:$V1019))</f>
        <v>3</v>
      </c>
      <c r="T1019" s="467">
        <v>1.0</v>
      </c>
      <c r="U1019" s="468" t="b">
        <f>Rankings!$S1019=Rankings!$T1019</f>
        <v>0</v>
      </c>
      <c r="V1019" s="553">
        <f>IF(ISTEXT(Rankings!F1019), "TBD", (RANK($F1019,$F1013:$F1019) + IF(ISTEXT($H1019), 0, (RANK($H1019,$H1013:$H1019)/10)) + (RANK($G1019,$G1013:$G1019)/100)))</f>
        <v>3.33</v>
      </c>
      <c r="W1019" s="208"/>
      <c r="Y1019" s="443"/>
    </row>
    <row r="1020" ht="15.75" customHeight="1">
      <c r="A1020" s="103">
        <v>46251.0</v>
      </c>
      <c r="B1020" s="453"/>
      <c r="C1020" s="454" t="str">
        <f t="array" ref="C1020">INDEX(Rankings!$E1020:$E1026, MATCH(1, (Rankings!$D1020:$D1026=$A1020)*(Rankings!$U1020:$U1026=TRUE()), 0))</f>
        <v>Giacomo</v>
      </c>
      <c r="D1020" s="551">
        <f>A1020</f>
        <v>46251</v>
      </c>
      <c r="E1020" s="455" t="str">
        <f>$K$1</f>
        <v>Logan</v>
      </c>
      <c r="F1020" s="400">
        <f>IFERROR(AVERAGE(Rankings!$K1020:$R1020), "TBD")</f>
        <v>4.333333333</v>
      </c>
      <c r="G1020" s="400">
        <f>IFERROR(_xlfn.STDEV.P(Rankings!$K1020:$R1020), "TBD")</f>
        <v>1.105541597</v>
      </c>
      <c r="H1020" s="400">
        <f>IFERROR(AVERAGE(Rankings!$L1020:$R1020), "TBD")</f>
        <v>4.4</v>
      </c>
      <c r="I1020" s="421" t="s">
        <v>2248</v>
      </c>
      <c r="J1020" s="421" t="s">
        <v>2249</v>
      </c>
      <c r="K1020" s="422">
        <v>4.0</v>
      </c>
      <c r="L1020" s="423">
        <v>5.0</v>
      </c>
      <c r="M1020" s="423">
        <v>3.0</v>
      </c>
      <c r="N1020" s="555"/>
      <c r="O1020" s="423">
        <v>6.0</v>
      </c>
      <c r="P1020" s="423">
        <v>3.0</v>
      </c>
      <c r="Q1020" s="456">
        <v>5.0</v>
      </c>
      <c r="R1020" s="457"/>
      <c r="S1020" s="458">
        <f>IF(ISTEXT($V1020), "TBD", RANK(V1020,$V1020:$V1026))</f>
        <v>5</v>
      </c>
      <c r="T1020" s="576">
        <v>1.0</v>
      </c>
      <c r="U1020" s="460" t="b">
        <f>Rankings!$S1020=Rankings!$T1020</f>
        <v>0</v>
      </c>
      <c r="V1020" s="553">
        <f>IF(ISTEXT(Rankings!F1020), "TBD", (RANK($F1020,$F1020:$F1026) + IF(ISTEXT($H1020), 0, (RANK($H1020,$H1020:$H1026)/10)) + (RANK($G1020,$G1020:$G1026)/100)))</f>
        <v>2.26</v>
      </c>
      <c r="W1020" s="329"/>
      <c r="Y1020" s="443"/>
    </row>
    <row r="1021" ht="15.75" customHeight="1">
      <c r="A1021" s="134"/>
      <c r="B1021" s="134"/>
      <c r="C1021" s="134"/>
      <c r="D1021" s="554">
        <f>D1020</f>
        <v>46251</v>
      </c>
      <c r="E1021" s="463" t="str">
        <f>$L$1</f>
        <v>Parker</v>
      </c>
      <c r="F1021" s="404">
        <f>IFERROR(AVERAGE(Rankings!$K1021:$R1021), "TBD")</f>
        <v>3.666666667</v>
      </c>
      <c r="G1021" s="404">
        <f>IFERROR(_xlfn.STDEV.P(Rankings!$K1021:$R1021), "TBD")</f>
        <v>1.247219129</v>
      </c>
      <c r="H1021" s="404">
        <f>IFERROR(AVERAGE(Rankings!$K1021, Rankings!$M1021:$R1021), "TBD")</f>
        <v>4</v>
      </c>
      <c r="I1021" s="429" t="s">
        <v>2250</v>
      </c>
      <c r="J1021" s="429" t="s">
        <v>2251</v>
      </c>
      <c r="K1021" s="430">
        <v>2.0</v>
      </c>
      <c r="L1021" s="431">
        <v>2.0</v>
      </c>
      <c r="M1021" s="431">
        <v>4.0</v>
      </c>
      <c r="N1021" s="555"/>
      <c r="O1021" s="431">
        <v>5.0</v>
      </c>
      <c r="P1021" s="431">
        <v>5.0</v>
      </c>
      <c r="Q1021" s="464">
        <v>4.0</v>
      </c>
      <c r="R1021" s="465"/>
      <c r="S1021" s="466">
        <f>IF(ISTEXT($V1021), "TBD", RANK(V1021,$V1020:$V1026))</f>
        <v>4</v>
      </c>
      <c r="T1021" s="444">
        <v>1.0</v>
      </c>
      <c r="U1021" s="468" t="b">
        <f>Rankings!$S1021=Rankings!$T1021</f>
        <v>0</v>
      </c>
      <c r="V1021" s="553">
        <f>IF(ISTEXT(Rankings!F1021), "TBD", (RANK($F1021,$F1020:$F1026) + IF(ISTEXT($H1021), 0, (RANK($H1021,$H1020:$H1026)/10)) + (RANK($G1021,$G1020:$G1026)/100)))</f>
        <v>3.35</v>
      </c>
      <c r="W1021" s="153"/>
      <c r="Y1021" s="443"/>
    </row>
    <row r="1022" ht="15.75" customHeight="1">
      <c r="A1022" s="134"/>
      <c r="B1022" s="134"/>
      <c r="C1022" s="134"/>
      <c r="D1022" s="556">
        <f>D1020</f>
        <v>46251</v>
      </c>
      <c r="E1022" s="469" t="str">
        <f>$M$1</f>
        <v>Giacomo</v>
      </c>
      <c r="F1022" s="408">
        <f>IFERROR(AVERAGE(Rankings!$K1022:$R1022), "TBD")</f>
        <v>2.166666667</v>
      </c>
      <c r="G1022" s="408">
        <f>IFERROR(_xlfn.STDEV.P(Rankings!$K1022:$R1022), "TBD")</f>
        <v>1.771690969</v>
      </c>
      <c r="H1022" s="408">
        <f>IFERROR(AVERAGE(Rankings!$K1022:$L1022, Rankings!$N1022:$R1022), "TBD")</f>
        <v>2.4</v>
      </c>
      <c r="I1022" s="437" t="s">
        <v>2252</v>
      </c>
      <c r="J1022" s="437" t="s">
        <v>2253</v>
      </c>
      <c r="K1022" s="430">
        <v>1.0</v>
      </c>
      <c r="L1022" s="431">
        <v>1.0</v>
      </c>
      <c r="M1022" s="431">
        <v>1.0</v>
      </c>
      <c r="N1022" s="555"/>
      <c r="O1022" s="431">
        <v>2.0</v>
      </c>
      <c r="P1022" s="431">
        <v>2.0</v>
      </c>
      <c r="Q1022" s="464">
        <v>6.0</v>
      </c>
      <c r="R1022" s="465"/>
      <c r="S1022" s="466">
        <f>IF(ISTEXT($V1022), "TBD", RANK(V1022,$V1020:$V1026))</f>
        <v>1</v>
      </c>
      <c r="T1022" s="467">
        <v>1.0</v>
      </c>
      <c r="U1022" s="468" t="b">
        <f>Rankings!$S1022=Rankings!$T1022</f>
        <v>1</v>
      </c>
      <c r="V1022" s="553">
        <f>IF(ISTEXT(Rankings!F1022), "TBD", (RANK($F1022,$F1020:$F1026) + IF(ISTEXT($H1022), 0, (RANK($H1022,$H1020:$H1026)/10)) + (RANK($G1022,$G1020:$G1026)/100)))</f>
        <v>6.61</v>
      </c>
      <c r="W1022" s="153"/>
      <c r="Y1022" s="443"/>
    </row>
    <row r="1023" ht="15.75" customHeight="1">
      <c r="A1023" s="134"/>
      <c r="B1023" s="134"/>
      <c r="C1023" s="134"/>
      <c r="D1023" s="557">
        <f>D1020</f>
        <v>46251</v>
      </c>
      <c r="E1023" s="470" t="str">
        <f>$N$1</f>
        <v>Rosey</v>
      </c>
      <c r="F1023" s="411" t="str">
        <f>IFERROR(AVERAGE(Rankings!$K1023:$R1023), "TBD")</f>
        <v>TBD</v>
      </c>
      <c r="G1023" s="411" t="str">
        <f>IFERROR(_xlfn.STDEV.P(Rankings!$K1023:$R1023), "TBD")</f>
        <v>TBD</v>
      </c>
      <c r="H1023" s="411" t="str">
        <f>IFERROR(AVERAGE(Rankings!$K1023:$M1023, Rankings!$O1023:$R1023), "TBD")</f>
        <v>TBD</v>
      </c>
      <c r="I1023" s="438"/>
      <c r="J1023" s="438"/>
      <c r="K1023" s="430"/>
      <c r="L1023" s="566"/>
      <c r="M1023" s="431" t="s">
        <v>2254</v>
      </c>
      <c r="N1023" s="555"/>
      <c r="O1023" s="431" t="s">
        <v>1697</v>
      </c>
      <c r="P1023" s="431" t="s">
        <v>1698</v>
      </c>
      <c r="Q1023" s="464" t="s">
        <v>1766</v>
      </c>
      <c r="R1023" s="465"/>
      <c r="S1023" s="466" t="str">
        <f>IF(ISTEXT($V1023), "TBD", RANK(V1023,$V1020:$V1026))</f>
        <v>TBD</v>
      </c>
      <c r="T1023" s="467">
        <v>1.0</v>
      </c>
      <c r="U1023" s="468" t="b">
        <f>Rankings!$S1023=Rankings!$T1023</f>
        <v>0</v>
      </c>
      <c r="V1023" s="553" t="str">
        <f>IF(ISTEXT(Rankings!F1023), "TBD", (RANK($F1023,$F1020:$F1026) + IF(ISTEXT($H1023), 0, (RANK($H1023,$H1020:$H1026)/10)) + (RANK($G1023,$G1020:$G1026)/100)))</f>
        <v>TBD</v>
      </c>
      <c r="W1023" s="153"/>
      <c r="Y1023" s="443"/>
    </row>
    <row r="1024" ht="15.75" customHeight="1">
      <c r="A1024" s="134"/>
      <c r="B1024" s="134"/>
      <c r="C1024" s="134"/>
      <c r="D1024" s="561">
        <f t="shared" ref="D1024:D1026" si="148">D1020</f>
        <v>46251</v>
      </c>
      <c r="E1024" s="471" t="str">
        <f>$O$1</f>
        <v>TTAC</v>
      </c>
      <c r="F1024" s="414">
        <f>IFERROR(AVERAGE(Rankings!$K1024:$R1024), "TBD")</f>
        <v>5</v>
      </c>
      <c r="G1024" s="414">
        <f>IFERROR(_xlfn.STDEV.P(Rankings!$K1024:$R1024), "TBD")</f>
        <v>1.414213562</v>
      </c>
      <c r="H1024" s="414">
        <f>IFERROR(AVERAGE(Rankings!$K1024:$N1024, Rankings!$P1024:$R1024), "TBD")</f>
        <v>5.4</v>
      </c>
      <c r="I1024" s="439" t="s">
        <v>2255</v>
      </c>
      <c r="J1024" s="439" t="s">
        <v>1713</v>
      </c>
      <c r="K1024" s="430">
        <v>6.0</v>
      </c>
      <c r="L1024" s="431">
        <v>6.0</v>
      </c>
      <c r="M1024" s="431">
        <v>6.0</v>
      </c>
      <c r="N1024" s="555"/>
      <c r="O1024" s="431">
        <v>3.0</v>
      </c>
      <c r="P1024" s="431">
        <v>6.0</v>
      </c>
      <c r="Q1024" s="464">
        <v>3.0</v>
      </c>
      <c r="R1024" s="465"/>
      <c r="S1024" s="466">
        <f>IF(ISTEXT($V1024), "TBD", RANK(V1024,$V1020:$V1026))</f>
        <v>6</v>
      </c>
      <c r="T1024" s="467">
        <v>1.0</v>
      </c>
      <c r="U1024" s="468" t="b">
        <f>Rankings!$S1024=Rankings!$T1024</f>
        <v>0</v>
      </c>
      <c r="V1024" s="553">
        <f>IF(ISTEXT(Rankings!F1024), "TBD", (RANK($F1024,$F1020:$F1026) + IF(ISTEXT($H1024), 0, (RANK($H1024,$H1020:$H1026)/10)) + (RANK($G1024,$G1020:$G1026)/100)))</f>
        <v>1.13</v>
      </c>
      <c r="W1024" s="153"/>
      <c r="Y1024" s="443"/>
    </row>
    <row r="1025" ht="15.75" customHeight="1">
      <c r="A1025" s="134"/>
      <c r="B1025" s="134"/>
      <c r="C1025" s="134"/>
      <c r="D1025" s="562">
        <f t="shared" si="148"/>
        <v>46251</v>
      </c>
      <c r="E1025" s="472" t="str">
        <f>$P$1</f>
        <v>Weston</v>
      </c>
      <c r="F1025" s="418">
        <f>IFERROR(AVERAGE(Rankings!$K1025:$R1025), "TBD")</f>
        <v>2.833333333</v>
      </c>
      <c r="G1025" s="418">
        <f>IFERROR(_xlfn.STDEV.P(Rankings!$K1025:$R1025), "TBD")</f>
        <v>1.343709625</v>
      </c>
      <c r="H1025" s="418">
        <f>IFERROR(AVERAGE(Rankings!$K1025:$O1025, Rankings!$Q1025:$R1025), "TBD")</f>
        <v>3.2</v>
      </c>
      <c r="I1025" s="440" t="s">
        <v>2256</v>
      </c>
      <c r="J1025" s="440" t="s">
        <v>1382</v>
      </c>
      <c r="K1025" s="430">
        <v>5.0</v>
      </c>
      <c r="L1025" s="431">
        <v>3.0</v>
      </c>
      <c r="M1025" s="431">
        <v>2.0</v>
      </c>
      <c r="N1025" s="555"/>
      <c r="O1025" s="431">
        <v>4.0</v>
      </c>
      <c r="P1025" s="431">
        <v>1.0</v>
      </c>
      <c r="Q1025" s="464">
        <v>2.0</v>
      </c>
      <c r="R1025" s="465"/>
      <c r="S1025" s="466">
        <f>IF(ISTEXT($V1025), "TBD", RANK(V1025,$V1020:$V1026))</f>
        <v>2</v>
      </c>
      <c r="T1025" s="467">
        <v>1.0</v>
      </c>
      <c r="U1025" s="468" t="b">
        <f>Rankings!$S1025=Rankings!$T1025</f>
        <v>0</v>
      </c>
      <c r="V1025" s="553">
        <f>IF(ISTEXT(Rankings!F1025), "TBD", (RANK($F1025,$F1020:$F1026) + IF(ISTEXT($H1025), 0, (RANK($H1025,$H1020:$H1026)/10)) + (RANK($G1025,$G1020:$G1026)/100)))</f>
        <v>5.54</v>
      </c>
      <c r="W1025" s="153"/>
      <c r="Y1025" s="443"/>
    </row>
    <row r="1026" ht="15.75" customHeight="1">
      <c r="A1026" s="189"/>
      <c r="B1026" s="189"/>
      <c r="C1026" s="189"/>
      <c r="D1026" s="563">
        <f t="shared" si="148"/>
        <v>46251</v>
      </c>
      <c r="E1026" s="230" t="str">
        <f>$Q$1</f>
        <v>Flocco</v>
      </c>
      <c r="F1026" s="474">
        <f>IFERROR(AVERAGE(Rankings!$K1026:$R1026), "TBD")</f>
        <v>3</v>
      </c>
      <c r="G1026" s="474">
        <f>IFERROR(_xlfn.STDEV.P(Rankings!$K1026:$R1026), "TBD")</f>
        <v>1.527525232</v>
      </c>
      <c r="H1026" s="474">
        <f>IFERROR(AVERAGE(Rankings!$K1026:$P1026, Rankings!$R1026), "TBD")</f>
        <v>3.4</v>
      </c>
      <c r="I1026" s="475" t="s">
        <v>2257</v>
      </c>
      <c r="J1026" s="475" t="s">
        <v>2258</v>
      </c>
      <c r="K1026" s="430">
        <v>3.0</v>
      </c>
      <c r="L1026" s="431">
        <v>4.0</v>
      </c>
      <c r="M1026" s="431">
        <v>5.0</v>
      </c>
      <c r="N1026" s="555"/>
      <c r="O1026" s="431">
        <v>1.0</v>
      </c>
      <c r="P1026" s="431">
        <v>4.0</v>
      </c>
      <c r="Q1026" s="464">
        <v>1.0</v>
      </c>
      <c r="R1026" s="465"/>
      <c r="S1026" s="466">
        <f>IF(ISTEXT($V1026), "TBD", RANK(V1026,$V1020:$V1026))</f>
        <v>3</v>
      </c>
      <c r="T1026" s="467">
        <v>1.0</v>
      </c>
      <c r="U1026" s="468" t="b">
        <f>Rankings!$S1026=Rankings!$T1026</f>
        <v>0</v>
      </c>
      <c r="V1026" s="553">
        <f>IF(ISTEXT(Rankings!F1026), "TBD", (RANK($F1026,$F1020:$F1026) + IF(ISTEXT($H1026), 0, (RANK($H1026,$H1020:$H1026)/10)) + (RANK($G1026,$G1020:$G1026)/100)))</f>
        <v>4.42</v>
      </c>
      <c r="W1026" s="208"/>
      <c r="Y1026" s="443"/>
    </row>
    <row r="1027" ht="15.75" customHeight="1">
      <c r="A1027" s="103">
        <v>46253.0</v>
      </c>
      <c r="B1027" s="453"/>
      <c r="C1027" s="454" t="str">
        <f t="array" ref="C1027">INDEX(Rankings!$E1027:$E1033, MATCH(1, (Rankings!$D1027:$D1033=$A1027)*(Rankings!$U1027:$U1033=TRUE()), 0))</f>
        <v>TTAC</v>
      </c>
      <c r="D1027" s="551">
        <f>A1027</f>
        <v>46253</v>
      </c>
      <c r="E1027" s="455" t="str">
        <f>$K$1</f>
        <v>Logan</v>
      </c>
      <c r="F1027" s="400">
        <f>IFERROR(AVERAGE(Rankings!$K1027:$R1027), "TBD")</f>
        <v>5.5</v>
      </c>
      <c r="G1027" s="400">
        <f>IFERROR(_xlfn.STDEV.P(Rankings!$K1027:$R1027), "TBD")</f>
        <v>0.7637626158</v>
      </c>
      <c r="H1027" s="400">
        <f>IFERROR(AVERAGE(Rankings!$L1027:$R1027), "TBD")</f>
        <v>5.6</v>
      </c>
      <c r="I1027" s="569">
        <v>1919.0</v>
      </c>
      <c r="J1027" s="421" t="s">
        <v>2259</v>
      </c>
      <c r="K1027" s="422">
        <v>5.0</v>
      </c>
      <c r="L1027" s="423">
        <v>6.0</v>
      </c>
      <c r="M1027" s="423">
        <v>6.0</v>
      </c>
      <c r="N1027" s="555"/>
      <c r="O1027" s="423">
        <v>6.0</v>
      </c>
      <c r="P1027" s="423">
        <v>6.0</v>
      </c>
      <c r="Q1027" s="456">
        <v>4.0</v>
      </c>
      <c r="R1027" s="457"/>
      <c r="S1027" s="458">
        <f>IF(ISTEXT($V1027), "TBD", RANK(V1027,$V1027:$V1033))</f>
        <v>6</v>
      </c>
      <c r="T1027" s="576">
        <v>1.0</v>
      </c>
      <c r="U1027" s="460" t="b">
        <f>Rankings!$S1027=Rankings!$T1027</f>
        <v>0</v>
      </c>
      <c r="V1027" s="553">
        <f>IF(ISTEXT(Rankings!F1027), "TBD", (RANK($F1027,$F1027:$F1033) + IF(ISTEXT($H1027), 0, (RANK($H1027,$H1027:$H1033)/10)) + (RANK($G1027,$G1027:$G1033)/100)))</f>
        <v>1.16</v>
      </c>
      <c r="W1027" s="329"/>
      <c r="Y1027" s="443"/>
    </row>
    <row r="1028" ht="15.75" customHeight="1">
      <c r="A1028" s="134"/>
      <c r="B1028" s="134"/>
      <c r="C1028" s="134"/>
      <c r="D1028" s="554">
        <f>D1027</f>
        <v>46253</v>
      </c>
      <c r="E1028" s="463" t="str">
        <f>$L$1</f>
        <v>Parker</v>
      </c>
      <c r="F1028" s="404">
        <f>IFERROR(AVERAGE(Rankings!$K1028:$R1028), "TBD")</f>
        <v>3.166666667</v>
      </c>
      <c r="G1028" s="404">
        <f>IFERROR(_xlfn.STDEV.P(Rankings!$K1028:$R1028), "TBD")</f>
        <v>1.67497927</v>
      </c>
      <c r="H1028" s="404">
        <f>IFERROR(AVERAGE(Rankings!$K1028, Rankings!$M1028:$R1028), "TBD")</f>
        <v>3.6</v>
      </c>
      <c r="I1028" s="429" t="s">
        <v>2260</v>
      </c>
      <c r="J1028" s="429" t="s">
        <v>2261</v>
      </c>
      <c r="K1028" s="430">
        <v>4.0</v>
      </c>
      <c r="L1028" s="431">
        <v>1.0</v>
      </c>
      <c r="M1028" s="431">
        <v>1.0</v>
      </c>
      <c r="N1028" s="555"/>
      <c r="O1028" s="431">
        <v>3.0</v>
      </c>
      <c r="P1028" s="431">
        <v>5.0</v>
      </c>
      <c r="Q1028" s="464">
        <v>5.0</v>
      </c>
      <c r="R1028" s="465"/>
      <c r="S1028" s="466">
        <f>IF(ISTEXT($V1028), "TBD", RANK(V1028,$V1027:$V1033))</f>
        <v>4</v>
      </c>
      <c r="T1028" s="444">
        <v>1.0</v>
      </c>
      <c r="U1028" s="468" t="b">
        <f>Rankings!$S1028=Rankings!$T1028</f>
        <v>0</v>
      </c>
      <c r="V1028" s="553">
        <f>IF(ISTEXT(Rankings!F1028), "TBD", (RANK($F1028,$F1027:$F1033) + IF(ISTEXT($H1028), 0, (RANK($H1028,$H1027:$H1033)/10)) + (RANK($G1028,$G1027:$G1033)/100)))</f>
        <v>3.32</v>
      </c>
      <c r="W1028" s="153"/>
      <c r="Y1028" s="443"/>
    </row>
    <row r="1029" ht="15.75" customHeight="1">
      <c r="A1029" s="134"/>
      <c r="B1029" s="134"/>
      <c r="C1029" s="134"/>
      <c r="D1029" s="556">
        <f>D1027</f>
        <v>46253</v>
      </c>
      <c r="E1029" s="469" t="str">
        <f>$M$1</f>
        <v>Giacomo</v>
      </c>
      <c r="F1029" s="408">
        <f>IFERROR(AVERAGE(Rankings!$K1029:$R1029), "TBD")</f>
        <v>3.166666667</v>
      </c>
      <c r="G1029" s="408">
        <f>IFERROR(_xlfn.STDEV.P(Rankings!$K1029:$R1029), "TBD")</f>
        <v>1.067187373</v>
      </c>
      <c r="H1029" s="408">
        <f>IFERROR(AVERAGE(Rankings!$K1029:$L1029, Rankings!$N1029:$R1029), "TBD")</f>
        <v>3.4</v>
      </c>
      <c r="I1029" s="437" t="s">
        <v>2262</v>
      </c>
      <c r="J1029" s="437" t="s">
        <v>2263</v>
      </c>
      <c r="K1029" s="430">
        <v>2.0</v>
      </c>
      <c r="L1029" s="431">
        <v>3.0</v>
      </c>
      <c r="M1029" s="431">
        <v>2.0</v>
      </c>
      <c r="N1029" s="555"/>
      <c r="O1029" s="431">
        <v>5.0</v>
      </c>
      <c r="P1029" s="431">
        <v>4.0</v>
      </c>
      <c r="Q1029" s="464">
        <v>3.0</v>
      </c>
      <c r="R1029" s="465"/>
      <c r="S1029" s="466">
        <f>IF(ISTEXT($V1029), "TBD", RANK(V1029,$V1027:$V1033))</f>
        <v>3</v>
      </c>
      <c r="T1029" s="467">
        <v>1.0</v>
      </c>
      <c r="U1029" s="468" t="b">
        <f>Rankings!$S1029=Rankings!$T1029</f>
        <v>0</v>
      </c>
      <c r="V1029" s="553">
        <f>IF(ISTEXT(Rankings!F1029), "TBD", (RANK($F1029,$F1027:$F1033) + IF(ISTEXT($H1029), 0, (RANK($H1029,$H1027:$H1033)/10)) + (RANK($G1029,$G1027:$G1033)/100)))</f>
        <v>3.44</v>
      </c>
      <c r="W1029" s="153"/>
      <c r="Y1029" s="443"/>
    </row>
    <row r="1030" ht="15.75" customHeight="1">
      <c r="A1030" s="134"/>
      <c r="B1030" s="134"/>
      <c r="C1030" s="134"/>
      <c r="D1030" s="557">
        <f>D1027</f>
        <v>46253</v>
      </c>
      <c r="E1030" s="470" t="str">
        <f>$N$1</f>
        <v>Rosey</v>
      </c>
      <c r="F1030" s="411" t="str">
        <f>IFERROR(AVERAGE(Rankings!$K1030:$R1030), "TBD")</f>
        <v>TBD</v>
      </c>
      <c r="G1030" s="411" t="str">
        <f>IFERROR(_xlfn.STDEV.P(Rankings!$K1030:$R1030), "TBD")</f>
        <v>TBD</v>
      </c>
      <c r="H1030" s="411" t="str">
        <f>IFERROR(AVERAGE(Rankings!$K1030:$M1030, Rankings!$O1030:$R1030), "TBD")</f>
        <v>TBD</v>
      </c>
      <c r="I1030" s="438"/>
      <c r="J1030" s="438"/>
      <c r="K1030" s="430"/>
      <c r="L1030" s="566"/>
      <c r="M1030" s="431" t="s">
        <v>2264</v>
      </c>
      <c r="N1030" s="555"/>
      <c r="O1030" s="431" t="s">
        <v>1697</v>
      </c>
      <c r="P1030" s="431" t="s">
        <v>1698</v>
      </c>
      <c r="Q1030" s="464" t="s">
        <v>1766</v>
      </c>
      <c r="R1030" s="465"/>
      <c r="S1030" s="466" t="str">
        <f>IF(ISTEXT($V1030), "TBD", RANK(V1030,$V1027:$V1033))</f>
        <v>TBD</v>
      </c>
      <c r="T1030" s="467">
        <v>1.0</v>
      </c>
      <c r="U1030" s="468" t="b">
        <f>Rankings!$S1030=Rankings!$T1030</f>
        <v>0</v>
      </c>
      <c r="V1030" s="553" t="str">
        <f>IF(ISTEXT(Rankings!F1030), "TBD", (RANK($F1030,$F1027:$F1033) + IF(ISTEXT($H1030), 0, (RANK($H1030,$H1027:$H1033)/10)) + (RANK($G1030,$G1027:$G1033)/100)))</f>
        <v>TBD</v>
      </c>
      <c r="W1030" s="153"/>
      <c r="Y1030" s="443"/>
    </row>
    <row r="1031" ht="15.75" customHeight="1">
      <c r="A1031" s="134"/>
      <c r="B1031" s="134"/>
      <c r="C1031" s="134"/>
      <c r="D1031" s="561">
        <f t="shared" ref="D1031:D1033" si="149">D1027</f>
        <v>46253</v>
      </c>
      <c r="E1031" s="471" t="str">
        <f>$O$1</f>
        <v>TTAC</v>
      </c>
      <c r="F1031" s="414">
        <f>IFERROR(AVERAGE(Rankings!$K1031:$R1031), "TBD")</f>
        <v>2.5</v>
      </c>
      <c r="G1031" s="414">
        <f>IFERROR(_xlfn.STDEV.P(Rankings!$K1031:$R1031), "TBD")</f>
        <v>0.9574271078</v>
      </c>
      <c r="H1031" s="414">
        <f>IFERROR(AVERAGE(Rankings!$K1031:$N1031, Rankings!$P1031:$R1031), "TBD")</f>
        <v>2.8</v>
      </c>
      <c r="I1031" s="439" t="s">
        <v>2265</v>
      </c>
      <c r="J1031" s="439" t="s">
        <v>2266</v>
      </c>
      <c r="K1031" s="430">
        <v>3.0</v>
      </c>
      <c r="L1031" s="431">
        <v>2.0</v>
      </c>
      <c r="M1031" s="431">
        <v>4.0</v>
      </c>
      <c r="N1031" s="555"/>
      <c r="O1031" s="431">
        <v>1.0</v>
      </c>
      <c r="P1031" s="431">
        <v>3.0</v>
      </c>
      <c r="Q1031" s="464">
        <v>2.0</v>
      </c>
      <c r="R1031" s="465"/>
      <c r="S1031" s="466">
        <f>IF(ISTEXT($V1031), "TBD", RANK(V1031,$V1027:$V1033))</f>
        <v>1</v>
      </c>
      <c r="T1031" s="467">
        <v>1.0</v>
      </c>
      <c r="U1031" s="468" t="b">
        <f>Rankings!$S1031=Rankings!$T1031</f>
        <v>1</v>
      </c>
      <c r="V1031" s="553">
        <f>IF(ISTEXT(Rankings!F1031), "TBD", (RANK($F1031,$F1027:$F1033) + IF(ISTEXT($H1031), 0, (RANK($H1031,$H1027:$H1033)/10)) + (RANK($G1031,$G1027:$G1033)/100)))</f>
        <v>6.65</v>
      </c>
      <c r="W1031" s="153"/>
      <c r="Y1031" s="443"/>
    </row>
    <row r="1032" ht="15.75" customHeight="1">
      <c r="A1032" s="134"/>
      <c r="B1032" s="134"/>
      <c r="C1032" s="134"/>
      <c r="D1032" s="562">
        <f t="shared" si="149"/>
        <v>46253</v>
      </c>
      <c r="E1032" s="472" t="str">
        <f>$P$1</f>
        <v>Weston</v>
      </c>
      <c r="F1032" s="418">
        <f>IFERROR(AVERAGE(Rankings!$K1032:$R1032), "TBD")</f>
        <v>3.666666667</v>
      </c>
      <c r="G1032" s="418">
        <f>IFERROR(_xlfn.STDEV.P(Rankings!$K1032:$R1032), "TBD")</f>
        <v>1.972026594</v>
      </c>
      <c r="H1032" s="418">
        <f>IFERROR(AVERAGE(Rankings!$K1032:$O1032, Rankings!$Q1032:$R1032), "TBD")</f>
        <v>4.2</v>
      </c>
      <c r="I1032" s="440" t="s">
        <v>2267</v>
      </c>
      <c r="J1032" s="440" t="s">
        <v>2268</v>
      </c>
      <c r="K1032" s="430">
        <v>1.0</v>
      </c>
      <c r="L1032" s="431">
        <v>5.0</v>
      </c>
      <c r="M1032" s="431">
        <v>5.0</v>
      </c>
      <c r="N1032" s="555"/>
      <c r="O1032" s="431">
        <v>4.0</v>
      </c>
      <c r="P1032" s="431">
        <v>1.0</v>
      </c>
      <c r="Q1032" s="464">
        <v>6.0</v>
      </c>
      <c r="R1032" s="465"/>
      <c r="S1032" s="466">
        <f>IF(ISTEXT($V1032), "TBD", RANK(V1032,$V1027:$V1033))</f>
        <v>5</v>
      </c>
      <c r="T1032" s="467">
        <v>1.0</v>
      </c>
      <c r="U1032" s="468" t="b">
        <f>Rankings!$S1032=Rankings!$T1032</f>
        <v>0</v>
      </c>
      <c r="V1032" s="553">
        <f>IF(ISTEXT(Rankings!F1032), "TBD", (RANK($F1032,$F1027:$F1033) + IF(ISTEXT($H1032), 0, (RANK($H1032,$H1027:$H1033)/10)) + (RANK($G1032,$G1027:$G1033)/100)))</f>
        <v>2.21</v>
      </c>
      <c r="W1032" s="153"/>
      <c r="Y1032" s="443"/>
    </row>
    <row r="1033" ht="15.75" customHeight="1">
      <c r="A1033" s="189"/>
      <c r="B1033" s="189"/>
      <c r="C1033" s="189"/>
      <c r="D1033" s="563">
        <f t="shared" si="149"/>
        <v>46253</v>
      </c>
      <c r="E1033" s="230" t="str">
        <f>$Q$1</f>
        <v>Flocco</v>
      </c>
      <c r="F1033" s="474">
        <f>IFERROR(AVERAGE(Rankings!$K1033:$R1033), "TBD")</f>
        <v>3</v>
      </c>
      <c r="G1033" s="474">
        <f>IFERROR(_xlfn.STDEV.P(Rankings!$K1033:$R1033), "TBD")</f>
        <v>1.632993162</v>
      </c>
      <c r="H1033" s="474">
        <f>IFERROR(AVERAGE(Rankings!$K1033:$P1033, Rankings!$R1033), "TBD")</f>
        <v>3.4</v>
      </c>
      <c r="I1033" s="475" t="s">
        <v>2269</v>
      </c>
      <c r="J1033" s="475" t="s">
        <v>2270</v>
      </c>
      <c r="K1033" s="430">
        <v>6.0</v>
      </c>
      <c r="L1033" s="431">
        <v>4.0</v>
      </c>
      <c r="M1033" s="431">
        <v>3.0</v>
      </c>
      <c r="N1033" s="555"/>
      <c r="O1033" s="431">
        <v>2.0</v>
      </c>
      <c r="P1033" s="431">
        <v>2.0</v>
      </c>
      <c r="Q1033" s="464">
        <v>1.0</v>
      </c>
      <c r="R1033" s="465"/>
      <c r="S1033" s="466">
        <f>IF(ISTEXT($V1033), "TBD", RANK(V1033,$V1027:$V1033))</f>
        <v>2</v>
      </c>
      <c r="T1033" s="467">
        <v>1.0</v>
      </c>
      <c r="U1033" s="468" t="b">
        <f>Rankings!$S1033=Rankings!$T1033</f>
        <v>0</v>
      </c>
      <c r="V1033" s="553">
        <f>IF(ISTEXT(Rankings!F1033), "TBD", (RANK($F1033,$F1027:$F1033) + IF(ISTEXT($H1033), 0, (RANK($H1033,$H1027:$H1033)/10)) + (RANK($G1033,$G1027:$G1033)/100)))</f>
        <v>5.43</v>
      </c>
      <c r="W1033" s="208"/>
      <c r="Y1033" s="443"/>
    </row>
    <row r="1034" ht="15.75" customHeight="1">
      <c r="A1034" s="103">
        <v>46255.0</v>
      </c>
      <c r="B1034" s="453"/>
      <c r="C1034" s="454" t="str">
        <f t="array" ref="C1034">INDEX(Rankings!$E1034:$E1040, MATCH(1, (Rankings!$D1034:$D1040=$A1034)*(Rankings!$U1034:$U1040=TRUE()), 0))</f>
        <v>Parker</v>
      </c>
      <c r="D1034" s="551">
        <f>A1034</f>
        <v>46255</v>
      </c>
      <c r="E1034" s="455" t="str">
        <f>$K$1</f>
        <v>Logan</v>
      </c>
      <c r="F1034" s="400">
        <f>IFERROR(AVERAGE(Rankings!$K1034:$R1034), "TBD")</f>
        <v>4.5</v>
      </c>
      <c r="G1034" s="400">
        <f>IFERROR(_xlfn.STDEV.P(Rankings!$K1034:$R1034), "TBD")</f>
        <v>1.607275127</v>
      </c>
      <c r="H1034" s="400">
        <f>IFERROR(AVERAGE(Rankings!$L1034:$R1034), "TBD")</f>
        <v>5</v>
      </c>
      <c r="I1034" s="421" t="s">
        <v>2271</v>
      </c>
      <c r="J1034" s="421" t="s">
        <v>2272</v>
      </c>
      <c r="K1034" s="422">
        <v>2.0</v>
      </c>
      <c r="L1034" s="423">
        <v>4.0</v>
      </c>
      <c r="M1034" s="423">
        <v>6.0</v>
      </c>
      <c r="N1034" s="555"/>
      <c r="O1034" s="423">
        <v>6.0</v>
      </c>
      <c r="P1034" s="423">
        <v>6.0</v>
      </c>
      <c r="Q1034" s="456">
        <v>3.0</v>
      </c>
      <c r="R1034" s="457"/>
      <c r="S1034" s="458">
        <f>IF(ISTEXT($V1034), "TBD", RANK(V1034,$V1034:$V1040))</f>
        <v>5</v>
      </c>
      <c r="T1034" s="576">
        <v>1.0</v>
      </c>
      <c r="U1034" s="460" t="b">
        <f>Rankings!$S1034=Rankings!$T1034</f>
        <v>0</v>
      </c>
      <c r="V1034" s="553">
        <f>IF(ISTEXT(Rankings!F1034), "TBD", (RANK($F1034,$F1034:$F1040) + IF(ISTEXT($H1034), 0, (RANK($H1034,$H1034:$H1040)/10)) + (RANK($G1034,$G1034:$G1040)/100)))</f>
        <v>2.22</v>
      </c>
      <c r="W1034" s="329" t="s">
        <v>2273</v>
      </c>
      <c r="Y1034" s="443"/>
    </row>
    <row r="1035" ht="15.75" customHeight="1">
      <c r="A1035" s="134"/>
      <c r="B1035" s="134"/>
      <c r="C1035" s="134"/>
      <c r="D1035" s="554">
        <f>D1034</f>
        <v>46255</v>
      </c>
      <c r="E1035" s="463" t="str">
        <f>$L$1</f>
        <v>Parker</v>
      </c>
      <c r="F1035" s="404">
        <f>IFERROR(AVERAGE(Rankings!$K1035:$R1035), "TBD")</f>
        <v>2.333333333</v>
      </c>
      <c r="G1035" s="404">
        <f>IFERROR(_xlfn.STDEV.P(Rankings!$K1035:$R1035), "TBD")</f>
        <v>1.490711985</v>
      </c>
      <c r="H1035" s="404">
        <f>IFERROR(AVERAGE(Rankings!$K1035, Rankings!$M1035:$R1035), "TBD")</f>
        <v>2.6</v>
      </c>
      <c r="I1035" s="429" t="s">
        <v>2274</v>
      </c>
      <c r="J1035" s="429" t="s">
        <v>2275</v>
      </c>
      <c r="K1035" s="430">
        <v>1.0</v>
      </c>
      <c r="L1035" s="431">
        <v>1.0</v>
      </c>
      <c r="M1035" s="431">
        <v>3.0</v>
      </c>
      <c r="N1035" s="555"/>
      <c r="O1035" s="431">
        <v>3.0</v>
      </c>
      <c r="P1035" s="431">
        <v>1.0</v>
      </c>
      <c r="Q1035" s="464">
        <v>5.0</v>
      </c>
      <c r="R1035" s="465"/>
      <c r="S1035" s="466">
        <f>IF(ISTEXT($V1035), "TBD", RANK(V1035,$V1034:$V1040))</f>
        <v>1</v>
      </c>
      <c r="T1035" s="444">
        <v>1.0</v>
      </c>
      <c r="U1035" s="468" t="b">
        <f>Rankings!$S1035=Rankings!$T1035</f>
        <v>1</v>
      </c>
      <c r="V1035" s="553">
        <f>IF(ISTEXT(Rankings!F1035), "TBD", (RANK($F1035,$F1034:$F1040) + IF(ISTEXT($H1035), 0, (RANK($H1035,$H1034:$H1040)/10)) + (RANK($G1035,$G1034:$G1040)/100)))</f>
        <v>6.63</v>
      </c>
      <c r="W1035" s="153"/>
      <c r="Y1035" s="443"/>
    </row>
    <row r="1036" ht="15.75" customHeight="1">
      <c r="A1036" s="134"/>
      <c r="B1036" s="134"/>
      <c r="C1036" s="134"/>
      <c r="D1036" s="556">
        <f>D1034</f>
        <v>46255</v>
      </c>
      <c r="E1036" s="469" t="str">
        <f>$M$1</f>
        <v>Giacomo</v>
      </c>
      <c r="F1036" s="408">
        <f>IFERROR(AVERAGE(Rankings!$K1036:$R1036), "TBD")</f>
        <v>2.833333333</v>
      </c>
      <c r="G1036" s="408">
        <f>IFERROR(_xlfn.STDEV.P(Rankings!$K1036:$R1036), "TBD")</f>
        <v>1.771690969</v>
      </c>
      <c r="H1036" s="408">
        <f>IFERROR(AVERAGE(Rankings!$K1036:$L1036, Rankings!$N1036:$R1036), "TBD")</f>
        <v>3.2</v>
      </c>
      <c r="I1036" s="437" t="s">
        <v>2276</v>
      </c>
      <c r="J1036" s="437" t="s">
        <v>2277</v>
      </c>
      <c r="K1036" s="430">
        <v>6.0</v>
      </c>
      <c r="L1036" s="431">
        <v>2.0</v>
      </c>
      <c r="M1036" s="431">
        <v>1.0</v>
      </c>
      <c r="N1036" s="555"/>
      <c r="O1036" s="431">
        <v>1.0</v>
      </c>
      <c r="P1036" s="431">
        <v>3.0</v>
      </c>
      <c r="Q1036" s="464">
        <v>4.0</v>
      </c>
      <c r="R1036" s="465"/>
      <c r="S1036" s="466">
        <f>IF(ISTEXT($V1036), "TBD", RANK(V1036,$V1034:$V1040))</f>
        <v>2</v>
      </c>
      <c r="T1036" s="467">
        <v>1.0</v>
      </c>
      <c r="U1036" s="468" t="b">
        <f>Rankings!$S1036=Rankings!$T1036</f>
        <v>0</v>
      </c>
      <c r="V1036" s="553">
        <f>IF(ISTEXT(Rankings!F1036), "TBD", (RANK($F1036,$F1034:$F1040) + IF(ISTEXT($H1036), 0, (RANK($H1036,$H1034:$H1040)/10)) + (RANK($G1036,$G1034:$G1040)/100)))</f>
        <v>5.51</v>
      </c>
      <c r="W1036" s="153"/>
      <c r="Y1036" s="443"/>
    </row>
    <row r="1037" ht="15.75" customHeight="1">
      <c r="A1037" s="134"/>
      <c r="B1037" s="134"/>
      <c r="C1037" s="134"/>
      <c r="D1037" s="557">
        <f>D1034</f>
        <v>46255</v>
      </c>
      <c r="E1037" s="470" t="str">
        <f>$N$1</f>
        <v>Rosey</v>
      </c>
      <c r="F1037" s="411" t="str">
        <f>IFERROR(AVERAGE(Rankings!$K1037:$R1037), "TBD")</f>
        <v>TBD</v>
      </c>
      <c r="G1037" s="411" t="str">
        <f>IFERROR(_xlfn.STDEV.P(Rankings!$K1037:$R1037), "TBD")</f>
        <v>TBD</v>
      </c>
      <c r="H1037" s="411" t="str">
        <f>IFERROR(AVERAGE(Rankings!$K1037:$M1037, Rankings!$O1037:$R1037), "TBD")</f>
        <v>TBD</v>
      </c>
      <c r="I1037" s="438"/>
      <c r="J1037" s="438"/>
      <c r="K1037" s="430"/>
      <c r="L1037" s="566"/>
      <c r="M1037" s="431" t="s">
        <v>2278</v>
      </c>
      <c r="N1037" s="555"/>
      <c r="O1037" s="431" t="s">
        <v>1697</v>
      </c>
      <c r="P1037" s="431" t="s">
        <v>1698</v>
      </c>
      <c r="Q1037" s="464" t="s">
        <v>1766</v>
      </c>
      <c r="R1037" s="465"/>
      <c r="S1037" s="466" t="str">
        <f>IF(ISTEXT($V1037), "TBD", RANK(V1037,$V1034:$V1040))</f>
        <v>TBD</v>
      </c>
      <c r="T1037" s="467">
        <v>1.0</v>
      </c>
      <c r="U1037" s="468" t="b">
        <f>Rankings!$S1037=Rankings!$T1037</f>
        <v>0</v>
      </c>
      <c r="V1037" s="553" t="str">
        <f>IF(ISTEXT(Rankings!F1037), "TBD", (RANK($F1037,$F1034:$F1040) + IF(ISTEXT($H1037), 0, (RANK($H1037,$H1034:$H1040)/10)) + (RANK($G1037,$G1034:$G1040)/100)))</f>
        <v>TBD</v>
      </c>
      <c r="W1037" s="153"/>
      <c r="Y1037" s="443"/>
    </row>
    <row r="1038" ht="15.75" customHeight="1">
      <c r="A1038" s="134"/>
      <c r="B1038" s="134"/>
      <c r="C1038" s="134"/>
      <c r="D1038" s="561">
        <f t="shared" ref="D1038:D1040" si="150">D1034</f>
        <v>46255</v>
      </c>
      <c r="E1038" s="471" t="str">
        <f>$O$1</f>
        <v>TTAC</v>
      </c>
      <c r="F1038" s="414">
        <f>IFERROR(AVERAGE(Rankings!$K1038:$R1038), "TBD")</f>
        <v>5</v>
      </c>
      <c r="G1038" s="414">
        <f>IFERROR(_xlfn.STDEV.P(Rankings!$K1038:$R1038), "TBD")</f>
        <v>0.8164965809</v>
      </c>
      <c r="H1038" s="414">
        <f>IFERROR(AVERAGE(Rankings!$K1038:$N1038, Rankings!$P1038:$R1038), "TBD")</f>
        <v>5.2</v>
      </c>
      <c r="I1038" s="439" t="s">
        <v>2279</v>
      </c>
      <c r="J1038" s="439" t="s">
        <v>2280</v>
      </c>
      <c r="K1038" s="430">
        <v>5.0</v>
      </c>
      <c r="L1038" s="431">
        <v>6.0</v>
      </c>
      <c r="M1038" s="431">
        <v>5.0</v>
      </c>
      <c r="N1038" s="555"/>
      <c r="O1038" s="431">
        <v>4.0</v>
      </c>
      <c r="P1038" s="431">
        <v>4.0</v>
      </c>
      <c r="Q1038" s="464">
        <v>6.0</v>
      </c>
      <c r="R1038" s="465"/>
      <c r="S1038" s="466">
        <f>IF(ISTEXT($V1038), "TBD", RANK(V1038,$V1034:$V1040))</f>
        <v>6</v>
      </c>
      <c r="T1038" s="467">
        <v>1.0</v>
      </c>
      <c r="U1038" s="468" t="b">
        <f>Rankings!$S1038=Rankings!$T1038</f>
        <v>0</v>
      </c>
      <c r="V1038" s="553">
        <f>IF(ISTEXT(Rankings!F1038), "TBD", (RANK($F1038,$F1034:$F1040) + IF(ISTEXT($H1038), 0, (RANK($H1038,$H1034:$H1040)/10)) + (RANK($G1038,$G1034:$G1040)/100)))</f>
        <v>1.16</v>
      </c>
      <c r="W1038" s="153"/>
      <c r="Y1038" s="443"/>
    </row>
    <row r="1039" ht="15.75" customHeight="1">
      <c r="A1039" s="134"/>
      <c r="B1039" s="134"/>
      <c r="C1039" s="134"/>
      <c r="D1039" s="562">
        <f t="shared" si="150"/>
        <v>46255</v>
      </c>
      <c r="E1039" s="472" t="str">
        <f>$P$1</f>
        <v>Weston</v>
      </c>
      <c r="F1039" s="418">
        <f>IFERROR(AVERAGE(Rankings!$K1039:$R1039), "TBD")</f>
        <v>3.333333333</v>
      </c>
      <c r="G1039" s="418">
        <f>IFERROR(_xlfn.STDEV.P(Rankings!$K1039:$R1039), "TBD")</f>
        <v>1.374368542</v>
      </c>
      <c r="H1039" s="418">
        <f>IFERROR(AVERAGE(Rankings!$K1039:$O1039, Rankings!$Q1039:$R1039), "TBD")</f>
        <v>3.6</v>
      </c>
      <c r="I1039" s="440" t="s">
        <v>2281</v>
      </c>
      <c r="J1039" s="440" t="s">
        <v>2282</v>
      </c>
      <c r="K1039" s="430">
        <v>4.0</v>
      </c>
      <c r="L1039" s="431">
        <v>5.0</v>
      </c>
      <c r="M1039" s="431">
        <v>2.0</v>
      </c>
      <c r="N1039" s="555"/>
      <c r="O1039" s="431">
        <v>5.0</v>
      </c>
      <c r="P1039" s="431">
        <v>2.0</v>
      </c>
      <c r="Q1039" s="464">
        <v>2.0</v>
      </c>
      <c r="R1039" s="465"/>
      <c r="S1039" s="466">
        <f>IF(ISTEXT($V1039), "TBD", RANK(V1039,$V1034:$V1040))</f>
        <v>4</v>
      </c>
      <c r="T1039" s="467">
        <v>1.0</v>
      </c>
      <c r="U1039" s="468" t="b">
        <f>Rankings!$S1039=Rankings!$T1039</f>
        <v>0</v>
      </c>
      <c r="V1039" s="553">
        <f>IF(ISTEXT(Rankings!F1039), "TBD", (RANK($F1039,$F1034:$F1040) + IF(ISTEXT($H1039), 0, (RANK($H1039,$H1034:$H1040)/10)) + (RANK($G1039,$G1034:$G1040)/100)))</f>
        <v>3.34</v>
      </c>
      <c r="W1039" s="153"/>
      <c r="Y1039" s="443"/>
    </row>
    <row r="1040" ht="15.75" customHeight="1">
      <c r="A1040" s="189"/>
      <c r="B1040" s="189"/>
      <c r="C1040" s="189"/>
      <c r="D1040" s="563">
        <f t="shared" si="150"/>
        <v>46255</v>
      </c>
      <c r="E1040" s="230" t="str">
        <f>$Q$1</f>
        <v>Flocco</v>
      </c>
      <c r="F1040" s="474">
        <f>IFERROR(AVERAGE(Rankings!$K1040:$R1040), "TBD")</f>
        <v>3</v>
      </c>
      <c r="G1040" s="474">
        <f>IFERROR(_xlfn.STDEV.P(Rankings!$K1040:$R1040), "TBD")</f>
        <v>1.290994449</v>
      </c>
      <c r="H1040" s="474">
        <f>IFERROR(AVERAGE(Rankings!$K1040:$P1040, Rankings!$R1040), "TBD")</f>
        <v>3.4</v>
      </c>
      <c r="I1040" s="475" t="s">
        <v>2283</v>
      </c>
      <c r="J1040" s="475" t="s">
        <v>2284</v>
      </c>
      <c r="K1040" s="430">
        <v>3.0</v>
      </c>
      <c r="L1040" s="431">
        <v>3.0</v>
      </c>
      <c r="M1040" s="431">
        <v>4.0</v>
      </c>
      <c r="N1040" s="555"/>
      <c r="O1040" s="431">
        <v>2.0</v>
      </c>
      <c r="P1040" s="431">
        <v>5.0</v>
      </c>
      <c r="Q1040" s="464">
        <v>1.0</v>
      </c>
      <c r="R1040" s="465"/>
      <c r="S1040" s="466">
        <f>IF(ISTEXT($V1040), "TBD", RANK(V1040,$V1034:$V1040))</f>
        <v>3</v>
      </c>
      <c r="T1040" s="467">
        <v>1.0</v>
      </c>
      <c r="U1040" s="468" t="b">
        <f>Rankings!$S1040=Rankings!$T1040</f>
        <v>0</v>
      </c>
      <c r="V1040" s="553">
        <f>IF(ISTEXT(Rankings!F1040), "TBD", (RANK($F1040,$F1034:$F1040) + IF(ISTEXT($H1040), 0, (RANK($H1040,$H1034:$H1040)/10)) + (RANK($G1040,$G1034:$G1040)/100)))</f>
        <v>4.45</v>
      </c>
      <c r="W1040" s="208"/>
      <c r="Y1040" s="443"/>
    </row>
    <row r="1041" ht="15.75" customHeight="1">
      <c r="A1041" s="103">
        <v>46258.0</v>
      </c>
      <c r="B1041" s="453"/>
      <c r="C1041" s="454" t="str">
        <f t="array" ref="C1041">INDEX(Rankings!$E1041:$E1047, MATCH(1, (Rankings!$D1041:$D1047=$A1041)*(Rankings!$U1041:$U1047=TRUE()), 0))</f>
        <v>Logan</v>
      </c>
      <c r="D1041" s="551">
        <f>A1041</f>
        <v>46258</v>
      </c>
      <c r="E1041" s="455" t="str">
        <f>$K$1</f>
        <v>Logan</v>
      </c>
      <c r="F1041" s="400">
        <f>IFERROR(AVERAGE(Rankings!$K1041:$R1041), "TBD")</f>
        <v>1.833333333</v>
      </c>
      <c r="G1041" s="400">
        <f>IFERROR(_xlfn.STDEV.P(Rankings!$K1041:$R1041), "TBD")</f>
        <v>0.3726779962</v>
      </c>
      <c r="H1041" s="400">
        <f>IFERROR(AVERAGE(Rankings!$L1041:$R1041), "TBD")</f>
        <v>1.8</v>
      </c>
      <c r="I1041" s="421" t="s">
        <v>2285</v>
      </c>
      <c r="J1041" s="421" t="s">
        <v>298</v>
      </c>
      <c r="K1041" s="422">
        <v>2.0</v>
      </c>
      <c r="L1041" s="423">
        <v>1.0</v>
      </c>
      <c r="M1041" s="423">
        <v>2.0</v>
      </c>
      <c r="N1041" s="555"/>
      <c r="O1041" s="423">
        <v>2.0</v>
      </c>
      <c r="P1041" s="423">
        <v>2.0</v>
      </c>
      <c r="Q1041" s="456">
        <v>2.0</v>
      </c>
      <c r="R1041" s="457"/>
      <c r="S1041" s="458">
        <f>IF(ISTEXT($V1041), "TBD", RANK(V1041,$V1041:$V1047))</f>
        <v>1</v>
      </c>
      <c r="T1041" s="576">
        <v>1.0</v>
      </c>
      <c r="U1041" s="460" t="b">
        <f>Rankings!$S1041=Rankings!$T1041</f>
        <v>1</v>
      </c>
      <c r="V1041" s="553">
        <f>IF(ISTEXT(Rankings!F1041), "TBD", (RANK($F1041,$F1041:$F1047) + IF(ISTEXT($H1041), 0, (RANK($H1041,$H1041:$H1047)/10)) + (RANK($G1041,$G1041:$G1047)/100)))</f>
        <v>6.66</v>
      </c>
      <c r="W1041" s="329"/>
      <c r="Y1041" s="443"/>
    </row>
    <row r="1042" ht="15.75" customHeight="1">
      <c r="A1042" s="134"/>
      <c r="B1042" s="134"/>
      <c r="C1042" s="134"/>
      <c r="D1042" s="554">
        <f>D1041</f>
        <v>46258</v>
      </c>
      <c r="E1042" s="463" t="str">
        <f>$L$1</f>
        <v>Parker</v>
      </c>
      <c r="F1042" s="404">
        <f>IFERROR(AVERAGE(Rankings!$K1042:$R1042), "TBD")</f>
        <v>3.5</v>
      </c>
      <c r="G1042" s="404">
        <f>IFERROR(_xlfn.STDEV.P(Rankings!$K1042:$R1042), "TBD")</f>
        <v>1.707825128</v>
      </c>
      <c r="H1042" s="404">
        <f>IFERROR(AVERAGE(Rankings!$K1042, Rankings!$M1042:$R1042), "TBD")</f>
        <v>3.8</v>
      </c>
      <c r="I1042" s="429" t="s">
        <v>2286</v>
      </c>
      <c r="J1042" s="429" t="s">
        <v>1164</v>
      </c>
      <c r="K1042" s="430">
        <v>4.0</v>
      </c>
      <c r="L1042" s="431">
        <v>2.0</v>
      </c>
      <c r="M1042" s="431">
        <v>3.0</v>
      </c>
      <c r="N1042" s="555"/>
      <c r="O1042" s="431">
        <v>6.0</v>
      </c>
      <c r="P1042" s="431">
        <v>1.0</v>
      </c>
      <c r="Q1042" s="464">
        <v>5.0</v>
      </c>
      <c r="R1042" s="465"/>
      <c r="S1042" s="466">
        <f>IF(ISTEXT($V1042), "TBD", RANK(V1042,$V1041:$V1047))</f>
        <v>3</v>
      </c>
      <c r="T1042" s="444">
        <v>1.0</v>
      </c>
      <c r="U1042" s="468" t="b">
        <f>Rankings!$S1042=Rankings!$T1042</f>
        <v>0</v>
      </c>
      <c r="V1042" s="553">
        <f>IF(ISTEXT(Rankings!F1042), "TBD", (RANK($F1042,$F1041:$F1047) + IF(ISTEXT($H1042), 0, (RANK($H1042,$H1041:$H1047)/10)) + (RANK($G1042,$G1041:$G1047)/100)))</f>
        <v>3.42</v>
      </c>
      <c r="W1042" s="153"/>
      <c r="Y1042" s="443"/>
    </row>
    <row r="1043" ht="15.75" customHeight="1">
      <c r="A1043" s="134"/>
      <c r="B1043" s="134"/>
      <c r="C1043" s="134"/>
      <c r="D1043" s="556">
        <f>D1041</f>
        <v>46258</v>
      </c>
      <c r="E1043" s="469" t="str">
        <f>$M$1</f>
        <v>Giacomo</v>
      </c>
      <c r="F1043" s="408">
        <f>IFERROR(AVERAGE(Rankings!$K1043:$R1043), "TBD")</f>
        <v>3.5</v>
      </c>
      <c r="G1043" s="408">
        <f>IFERROR(_xlfn.STDEV.P(Rankings!$K1043:$R1043), "TBD")</f>
        <v>1.258305739</v>
      </c>
      <c r="H1043" s="408">
        <f>IFERROR(AVERAGE(Rankings!$K1043:$L1043, Rankings!$N1043:$R1043), "TBD")</f>
        <v>4</v>
      </c>
      <c r="I1043" s="437" t="s">
        <v>2287</v>
      </c>
      <c r="J1043" s="437" t="s">
        <v>2288</v>
      </c>
      <c r="K1043" s="430">
        <v>5.0</v>
      </c>
      <c r="L1043" s="431">
        <v>4.0</v>
      </c>
      <c r="M1043" s="431">
        <v>1.0</v>
      </c>
      <c r="N1043" s="555"/>
      <c r="O1043" s="431">
        <v>4.0</v>
      </c>
      <c r="P1043" s="431">
        <v>4.0</v>
      </c>
      <c r="Q1043" s="464">
        <v>3.0</v>
      </c>
      <c r="R1043" s="465"/>
      <c r="S1043" s="466">
        <f>IF(ISTEXT($V1043), "TBD", RANK(V1043,$V1041:$V1047))</f>
        <v>4</v>
      </c>
      <c r="T1043" s="467">
        <v>1.0</v>
      </c>
      <c r="U1043" s="468" t="b">
        <f>Rankings!$S1043=Rankings!$T1043</f>
        <v>0</v>
      </c>
      <c r="V1043" s="553">
        <f>IF(ISTEXT(Rankings!F1043), "TBD", (RANK($F1043,$F1041:$F1047) + IF(ISTEXT($H1043), 0, (RANK($H1043,$H1041:$H1047)/10)) + (RANK($G1043,$G1041:$G1047)/100)))</f>
        <v>3.34</v>
      </c>
      <c r="W1043" s="153"/>
      <c r="Y1043" s="443"/>
    </row>
    <row r="1044" ht="15.75" customHeight="1">
      <c r="A1044" s="134"/>
      <c r="B1044" s="134"/>
      <c r="C1044" s="134"/>
      <c r="D1044" s="557">
        <f>D1041</f>
        <v>46258</v>
      </c>
      <c r="E1044" s="470" t="str">
        <f>$N$1</f>
        <v>Rosey</v>
      </c>
      <c r="F1044" s="411" t="str">
        <f>IFERROR(AVERAGE(Rankings!$K1044:$R1044), "TBD")</f>
        <v>TBD</v>
      </c>
      <c r="G1044" s="411" t="str">
        <f>IFERROR(_xlfn.STDEV.P(Rankings!$K1044:$R1044), "TBD")</f>
        <v>TBD</v>
      </c>
      <c r="H1044" s="411" t="str">
        <f>IFERROR(AVERAGE(Rankings!$K1044:$M1044, Rankings!$O1044:$R1044), "TBD")</f>
        <v>TBD</v>
      </c>
      <c r="I1044" s="438"/>
      <c r="J1044" s="438"/>
      <c r="K1044" s="430"/>
      <c r="L1044" s="566"/>
      <c r="M1044" s="431" t="s">
        <v>2289</v>
      </c>
      <c r="N1044" s="555"/>
      <c r="O1044" s="431" t="s">
        <v>1697</v>
      </c>
      <c r="P1044" s="431" t="s">
        <v>1698</v>
      </c>
      <c r="Q1044" s="464" t="s">
        <v>1766</v>
      </c>
      <c r="R1044" s="465"/>
      <c r="S1044" s="466" t="str">
        <f>IF(ISTEXT($V1044), "TBD", RANK(V1044,$V1041:$V1047))</f>
        <v>TBD</v>
      </c>
      <c r="T1044" s="467">
        <v>1.0</v>
      </c>
      <c r="U1044" s="468" t="b">
        <f>Rankings!$S1044=Rankings!$T1044</f>
        <v>0</v>
      </c>
      <c r="V1044" s="553" t="str">
        <f>IF(ISTEXT(Rankings!F1044), "TBD", (RANK($F1044,$F1041:$F1047) + IF(ISTEXT($H1044), 0, (RANK($H1044,$H1041:$H1047)/10)) + (RANK($G1044,$G1041:$G1047)/100)))</f>
        <v>TBD</v>
      </c>
      <c r="W1044" s="153"/>
      <c r="Y1044" s="443"/>
    </row>
    <row r="1045" ht="15.75" customHeight="1">
      <c r="A1045" s="134"/>
      <c r="B1045" s="134"/>
      <c r="C1045" s="134"/>
      <c r="D1045" s="561">
        <f t="shared" ref="D1045:D1047" si="151">D1041</f>
        <v>46258</v>
      </c>
      <c r="E1045" s="471" t="str">
        <f>$O$1</f>
        <v>TTAC</v>
      </c>
      <c r="F1045" s="414">
        <f>IFERROR(AVERAGE(Rankings!$K1045:$R1045), "TBD")</f>
        <v>4.166666667</v>
      </c>
      <c r="G1045" s="414">
        <f>IFERROR(_xlfn.STDEV.P(Rankings!$K1045:$R1045), "TBD")</f>
        <v>1.771690969</v>
      </c>
      <c r="H1045" s="414">
        <f>IFERROR(AVERAGE(Rankings!$K1045:$N1045, Rankings!$P1045:$R1045), "TBD")</f>
        <v>4.8</v>
      </c>
      <c r="I1045" s="439" t="s">
        <v>2290</v>
      </c>
      <c r="J1045" s="439" t="s">
        <v>2291</v>
      </c>
      <c r="K1045" s="430">
        <v>3.0</v>
      </c>
      <c r="L1045" s="431">
        <v>5.0</v>
      </c>
      <c r="M1045" s="431">
        <v>6.0</v>
      </c>
      <c r="N1045" s="555"/>
      <c r="O1045" s="431">
        <v>1.0</v>
      </c>
      <c r="P1045" s="431">
        <v>6.0</v>
      </c>
      <c r="Q1045" s="464">
        <v>4.0</v>
      </c>
      <c r="R1045" s="465"/>
      <c r="S1045" s="466">
        <f>IF(ISTEXT($V1045), "TBD", RANK(V1045,$V1041:$V1047))</f>
        <v>5</v>
      </c>
      <c r="T1045" s="467">
        <v>1.0</v>
      </c>
      <c r="U1045" s="468" t="b">
        <f>Rankings!$S1045=Rankings!$T1045</f>
        <v>0</v>
      </c>
      <c r="V1045" s="553">
        <f>IF(ISTEXT(Rankings!F1045), "TBD", (RANK($F1045,$F1041:$F1047) + IF(ISTEXT($H1045), 0, (RANK($H1045,$H1041:$H1047)/10)) + (RANK($G1045,$G1041:$G1047)/100)))</f>
        <v>2.21</v>
      </c>
      <c r="W1045" s="153"/>
      <c r="Y1045" s="443"/>
    </row>
    <row r="1046" ht="15.75" customHeight="1">
      <c r="A1046" s="134"/>
      <c r="B1046" s="134"/>
      <c r="C1046" s="134"/>
      <c r="D1046" s="562">
        <f t="shared" si="151"/>
        <v>46258</v>
      </c>
      <c r="E1046" s="472" t="str">
        <f>$P$1</f>
        <v>Weston</v>
      </c>
      <c r="F1046" s="418">
        <f>IFERROR(AVERAGE(Rankings!$K1046:$R1046), "TBD")</f>
        <v>5.166666667</v>
      </c>
      <c r="G1046" s="418">
        <f>IFERROR(_xlfn.STDEV.P(Rankings!$K1046:$R1046), "TBD")</f>
        <v>0.8975274679</v>
      </c>
      <c r="H1046" s="418">
        <f>IFERROR(AVERAGE(Rankings!$K1046:$O1046, Rankings!$Q1046:$R1046), "TBD")</f>
        <v>5.2</v>
      </c>
      <c r="I1046" s="440" t="s">
        <v>2292</v>
      </c>
      <c r="J1046" s="440" t="s">
        <v>2293</v>
      </c>
      <c r="K1046" s="430">
        <v>6.0</v>
      </c>
      <c r="L1046" s="431">
        <v>6.0</v>
      </c>
      <c r="M1046" s="431">
        <v>4.0</v>
      </c>
      <c r="N1046" s="555"/>
      <c r="O1046" s="431">
        <v>4.0</v>
      </c>
      <c r="P1046" s="431">
        <v>5.0</v>
      </c>
      <c r="Q1046" s="464">
        <v>6.0</v>
      </c>
      <c r="R1046" s="465"/>
      <c r="S1046" s="466">
        <f>IF(ISTEXT($V1046), "TBD", RANK(V1046,$V1041:$V1047))</f>
        <v>6</v>
      </c>
      <c r="T1046" s="467">
        <v>1.0</v>
      </c>
      <c r="U1046" s="468" t="b">
        <f>Rankings!$S1046=Rankings!$T1046</f>
        <v>0</v>
      </c>
      <c r="V1046" s="553">
        <f>IF(ISTEXT(Rankings!F1046), "TBD", (RANK($F1046,$F1041:$F1047) + IF(ISTEXT($H1046), 0, (RANK($H1046,$H1041:$H1047)/10)) + (RANK($G1046,$G1041:$G1047)/100)))</f>
        <v>1.15</v>
      </c>
      <c r="W1046" s="153"/>
      <c r="Y1046" s="443"/>
    </row>
    <row r="1047" ht="15.75" customHeight="1">
      <c r="A1047" s="189"/>
      <c r="B1047" s="189"/>
      <c r="C1047" s="189"/>
      <c r="D1047" s="563">
        <f t="shared" si="151"/>
        <v>46258</v>
      </c>
      <c r="E1047" s="230" t="str">
        <f>$Q$1</f>
        <v>Flocco</v>
      </c>
      <c r="F1047" s="474">
        <f>IFERROR(AVERAGE(Rankings!$K1047:$R1047), "TBD")</f>
        <v>2.666666667</v>
      </c>
      <c r="G1047" s="474">
        <f>IFERROR(_xlfn.STDEV.P(Rankings!$K1047:$R1047), "TBD")</f>
        <v>1.374368542</v>
      </c>
      <c r="H1047" s="474">
        <f>IFERROR(AVERAGE(Rankings!$K1047:$P1047, Rankings!$R1047), "TBD")</f>
        <v>3</v>
      </c>
      <c r="I1047" s="475" t="s">
        <v>2294</v>
      </c>
      <c r="J1047" s="475" t="s">
        <v>2295</v>
      </c>
      <c r="K1047" s="430">
        <v>1.0</v>
      </c>
      <c r="L1047" s="431">
        <v>3.0</v>
      </c>
      <c r="M1047" s="431">
        <v>5.0</v>
      </c>
      <c r="N1047" s="555"/>
      <c r="O1047" s="431">
        <v>3.0</v>
      </c>
      <c r="P1047" s="431">
        <v>3.0</v>
      </c>
      <c r="Q1047" s="464">
        <v>1.0</v>
      </c>
      <c r="R1047" s="465"/>
      <c r="S1047" s="466">
        <f>IF(ISTEXT($V1047), "TBD", RANK(V1047,$V1041:$V1047))</f>
        <v>2</v>
      </c>
      <c r="T1047" s="467">
        <v>1.0</v>
      </c>
      <c r="U1047" s="468" t="b">
        <f>Rankings!$S1047=Rankings!$T1047</f>
        <v>0</v>
      </c>
      <c r="V1047" s="553">
        <f>IF(ISTEXT(Rankings!F1047), "TBD", (RANK($F1047,$F1041:$F1047) + IF(ISTEXT($H1047), 0, (RANK($H1047,$H1041:$H1047)/10)) + (RANK($G1047,$G1041:$G1047)/100)))</f>
        <v>5.53</v>
      </c>
      <c r="W1047" s="208"/>
      <c r="Y1047" s="443"/>
    </row>
    <row r="1048" ht="15.75" customHeight="1">
      <c r="A1048" s="103">
        <v>46260.0</v>
      </c>
      <c r="B1048" s="453"/>
      <c r="C1048" s="454" t="str">
        <f t="array" ref="C1048">INDEX(Rankings!$E1048:$E1054, MATCH(1, (Rankings!$D1048:$D1054=$A1048)*(Rankings!$U1048:$U1054=TRUE()), 0))</f>
        <v>Weston</v>
      </c>
      <c r="D1048" s="551">
        <f>A1048</f>
        <v>46260</v>
      </c>
      <c r="E1048" s="455" t="str">
        <f>$K$1</f>
        <v>Logan</v>
      </c>
      <c r="F1048" s="400">
        <f>IFERROR(AVERAGE(Rankings!$K1048:$R1048), "TBD")</f>
        <v>4.666666667</v>
      </c>
      <c r="G1048" s="400">
        <f>IFERROR(_xlfn.STDEV.P(Rankings!$K1048:$R1048), "TBD")</f>
        <v>1.598610508</v>
      </c>
      <c r="H1048" s="400">
        <f>IFERROR(AVERAGE(Rankings!$L1048:$R1048), "TBD")</f>
        <v>5.2</v>
      </c>
      <c r="I1048" s="421" t="s">
        <v>2296</v>
      </c>
      <c r="J1048" s="421" t="s">
        <v>2297</v>
      </c>
      <c r="K1048" s="422">
        <v>2.0</v>
      </c>
      <c r="L1048" s="423">
        <v>6.0</v>
      </c>
      <c r="M1048" s="423">
        <v>6.0</v>
      </c>
      <c r="N1048" s="555"/>
      <c r="O1048" s="423">
        <v>6.0</v>
      </c>
      <c r="P1048" s="423">
        <v>5.0</v>
      </c>
      <c r="Q1048" s="456">
        <v>3.0</v>
      </c>
      <c r="R1048" s="457"/>
      <c r="S1048" s="458">
        <f>IF(ISTEXT($V1048), "TBD", RANK(V1048,$V1048:$V1054))</f>
        <v>6</v>
      </c>
      <c r="T1048" s="576">
        <v>1.0</v>
      </c>
      <c r="U1048" s="460" t="b">
        <f>Rankings!$S1048=Rankings!$T1048</f>
        <v>0</v>
      </c>
      <c r="V1048" s="553">
        <f>IF(ISTEXT(Rankings!F1048), "TBD", (RANK($F1048,$F1048:$F1054) + IF(ISTEXT($H1048), 0, (RANK($H1048,$H1048:$H1054)/10)) + (RANK($G1048,$G1048:$G1054)/100)))</f>
        <v>1.13</v>
      </c>
      <c r="W1048" s="329"/>
      <c r="Y1048" s="443"/>
    </row>
    <row r="1049" ht="15.75" customHeight="1">
      <c r="A1049" s="134"/>
      <c r="B1049" s="134"/>
      <c r="C1049" s="134"/>
      <c r="D1049" s="554">
        <f>D1048</f>
        <v>46260</v>
      </c>
      <c r="E1049" s="463" t="str">
        <f>$L$1</f>
        <v>Parker</v>
      </c>
      <c r="F1049" s="404">
        <f>IFERROR(AVERAGE(Rankings!$K1049:$R1049), "TBD")</f>
        <v>2.833333333</v>
      </c>
      <c r="G1049" s="404">
        <f>IFERROR(_xlfn.STDEV.P(Rankings!$K1049:$R1049), "TBD")</f>
        <v>1.343709625</v>
      </c>
      <c r="H1049" s="404">
        <f>IFERROR(AVERAGE(Rankings!$K1049, Rankings!$M1049:$R1049), "TBD")</f>
        <v>3.2</v>
      </c>
      <c r="I1049" s="429" t="s">
        <v>2298</v>
      </c>
      <c r="J1049" s="429" t="s">
        <v>2299</v>
      </c>
      <c r="K1049" s="430">
        <v>4.0</v>
      </c>
      <c r="L1049" s="431">
        <v>1.0</v>
      </c>
      <c r="M1049" s="431">
        <v>3.0</v>
      </c>
      <c r="N1049" s="555"/>
      <c r="O1049" s="431">
        <v>5.0</v>
      </c>
      <c r="P1049" s="431">
        <v>2.0</v>
      </c>
      <c r="Q1049" s="464">
        <v>2.0</v>
      </c>
      <c r="R1049" s="465"/>
      <c r="S1049" s="466">
        <f>IF(ISTEXT($V1049), "TBD", RANK(V1049,$V1048:$V1054))</f>
        <v>3</v>
      </c>
      <c r="T1049" s="444">
        <v>1.0</v>
      </c>
      <c r="U1049" s="468" t="b">
        <f>Rankings!$S1049=Rankings!$T1049</f>
        <v>0</v>
      </c>
      <c r="V1049" s="553">
        <f>IF(ISTEXT(Rankings!F1049), "TBD", (RANK($F1049,$F1048:$F1054) + IF(ISTEXT($H1049), 0, (RANK($H1049,$H1048:$H1054)/10)) + (RANK($G1049,$G1048:$G1054)/100)))</f>
        <v>4.44</v>
      </c>
      <c r="W1049" s="153"/>
      <c r="Y1049" s="443"/>
    </row>
    <row r="1050" ht="15.75" customHeight="1">
      <c r="A1050" s="134"/>
      <c r="B1050" s="134"/>
      <c r="C1050" s="134"/>
      <c r="D1050" s="556">
        <f>D1048</f>
        <v>46260</v>
      </c>
      <c r="E1050" s="469" t="str">
        <f>$M$1</f>
        <v>Giacomo</v>
      </c>
      <c r="F1050" s="408">
        <f>IFERROR(AVERAGE(Rankings!$K1050:$R1050), "TBD")</f>
        <v>4</v>
      </c>
      <c r="G1050" s="408">
        <f>IFERROR(_xlfn.STDEV.P(Rankings!$K1050:$R1050), "TBD")</f>
        <v>1.825741858</v>
      </c>
      <c r="H1050" s="408">
        <f>IFERROR(AVERAGE(Rankings!$K1050:$L1050, Rankings!$N1050:$R1050), "TBD")</f>
        <v>4.6</v>
      </c>
      <c r="I1050" s="437" t="s">
        <v>2300</v>
      </c>
      <c r="J1050" s="437" t="s">
        <v>2301</v>
      </c>
      <c r="K1050" s="430">
        <v>5.0</v>
      </c>
      <c r="L1050" s="431">
        <v>3.0</v>
      </c>
      <c r="M1050" s="431">
        <v>1.0</v>
      </c>
      <c r="N1050" s="555"/>
      <c r="O1050" s="431">
        <v>3.0</v>
      </c>
      <c r="P1050" s="431">
        <v>6.0</v>
      </c>
      <c r="Q1050" s="464">
        <v>6.0</v>
      </c>
      <c r="R1050" s="465"/>
      <c r="S1050" s="466">
        <f>IF(ISTEXT($V1050), "TBD", RANK(V1050,$V1048:$V1054))</f>
        <v>4</v>
      </c>
      <c r="T1050" s="467">
        <v>1.0</v>
      </c>
      <c r="U1050" s="468" t="b">
        <f>Rankings!$S1050=Rankings!$T1050</f>
        <v>0</v>
      </c>
      <c r="V1050" s="553">
        <f>IF(ISTEXT(Rankings!F1050), "TBD", (RANK($F1050,$F1048:$F1054) + IF(ISTEXT($H1050), 0, (RANK($H1050,$H1048:$H1054)/10)) + (RANK($G1050,$G1048:$G1054)/100)))</f>
        <v>3.21</v>
      </c>
      <c r="W1050" s="153"/>
      <c r="Y1050" s="443"/>
    </row>
    <row r="1051" ht="15.75" customHeight="1">
      <c r="A1051" s="134"/>
      <c r="B1051" s="134"/>
      <c r="C1051" s="134"/>
      <c r="D1051" s="557">
        <f>D1048</f>
        <v>46260</v>
      </c>
      <c r="E1051" s="470" t="str">
        <f>$N$1</f>
        <v>Rosey</v>
      </c>
      <c r="F1051" s="411" t="str">
        <f>IFERROR(AVERAGE(Rankings!$K1051:$R1051), "TBD")</f>
        <v>TBD</v>
      </c>
      <c r="G1051" s="411" t="str">
        <f>IFERROR(_xlfn.STDEV.P(Rankings!$K1051:$R1051), "TBD")</f>
        <v>TBD</v>
      </c>
      <c r="H1051" s="411" t="str">
        <f>IFERROR(AVERAGE(Rankings!$K1051:$M1051, Rankings!$O1051:$R1051), "TBD")</f>
        <v>TBD</v>
      </c>
      <c r="I1051" s="438"/>
      <c r="J1051" s="438"/>
      <c r="K1051" s="430"/>
      <c r="L1051" s="566"/>
      <c r="M1051" s="431" t="s">
        <v>2002</v>
      </c>
      <c r="N1051" s="555"/>
      <c r="O1051" s="431" t="s">
        <v>1697</v>
      </c>
      <c r="P1051" s="431" t="s">
        <v>1698</v>
      </c>
      <c r="Q1051" s="464" t="s">
        <v>1766</v>
      </c>
      <c r="R1051" s="465"/>
      <c r="S1051" s="466" t="str">
        <f>IF(ISTEXT($V1051), "TBD", RANK(V1051,$V1048:$V1054))</f>
        <v>TBD</v>
      </c>
      <c r="T1051" s="467">
        <v>1.0</v>
      </c>
      <c r="U1051" s="468" t="b">
        <f>Rankings!$S1051=Rankings!$T1051</f>
        <v>0</v>
      </c>
      <c r="V1051" s="553" t="str">
        <f>IF(ISTEXT(Rankings!F1051), "TBD", (RANK($F1051,$F1048:$F1054) + IF(ISTEXT($H1051), 0, (RANK($H1051,$H1048:$H1054)/10)) + (RANK($G1051,$G1048:$G1054)/100)))</f>
        <v>TBD</v>
      </c>
      <c r="W1051" s="153"/>
      <c r="Y1051" s="443"/>
    </row>
    <row r="1052" ht="15.75" customHeight="1">
      <c r="A1052" s="134"/>
      <c r="B1052" s="134"/>
      <c r="C1052" s="134"/>
      <c r="D1052" s="561">
        <f t="shared" ref="D1052:D1054" si="152">D1048</f>
        <v>46260</v>
      </c>
      <c r="E1052" s="471" t="str">
        <f>$O$1</f>
        <v>TTAC</v>
      </c>
      <c r="F1052" s="414">
        <f>IFERROR(AVERAGE(Rankings!$K1052:$R1052), "TBD")</f>
        <v>4.333333333</v>
      </c>
      <c r="G1052" s="414">
        <f>IFERROR(_xlfn.STDEV.P(Rankings!$K1052:$R1052), "TBD")</f>
        <v>0.7453559925</v>
      </c>
      <c r="H1052" s="414">
        <f>IFERROR(AVERAGE(Rankings!$K1052:$N1052, Rankings!$P1052:$R1052), "TBD")</f>
        <v>4.4</v>
      </c>
      <c r="I1052" s="439" t="s">
        <v>2302</v>
      </c>
      <c r="J1052" s="439" t="s">
        <v>2303</v>
      </c>
      <c r="K1052" s="430">
        <v>6.0</v>
      </c>
      <c r="L1052" s="431">
        <v>4.0</v>
      </c>
      <c r="M1052" s="431">
        <v>4.0</v>
      </c>
      <c r="N1052" s="555"/>
      <c r="O1052" s="431">
        <v>4.0</v>
      </c>
      <c r="P1052" s="431">
        <v>4.0</v>
      </c>
      <c r="Q1052" s="464">
        <v>4.0</v>
      </c>
      <c r="R1052" s="465"/>
      <c r="S1052" s="466">
        <f>IF(ISTEXT($V1052), "TBD", RANK(V1052,$V1048:$V1054))</f>
        <v>5</v>
      </c>
      <c r="T1052" s="467">
        <v>1.0</v>
      </c>
      <c r="U1052" s="468" t="b">
        <f>Rankings!$S1052=Rankings!$T1052</f>
        <v>0</v>
      </c>
      <c r="V1052" s="553">
        <f>IF(ISTEXT(Rankings!F1052), "TBD", (RANK($F1052,$F1048:$F1054) + IF(ISTEXT($H1052), 0, (RANK($H1052,$H1048:$H1054)/10)) + (RANK($G1052,$G1048:$G1054)/100)))</f>
        <v>2.36</v>
      </c>
      <c r="W1052" s="153"/>
      <c r="Y1052" s="443"/>
    </row>
    <row r="1053" ht="15.75" customHeight="1">
      <c r="A1053" s="134"/>
      <c r="B1053" s="134"/>
      <c r="C1053" s="134"/>
      <c r="D1053" s="562">
        <f t="shared" si="152"/>
        <v>46260</v>
      </c>
      <c r="E1053" s="472" t="str">
        <f>$P$1</f>
        <v>Weston</v>
      </c>
      <c r="F1053" s="418">
        <f>IFERROR(AVERAGE(Rankings!$K1053:$R1053), "TBD")</f>
        <v>2.5</v>
      </c>
      <c r="G1053" s="418">
        <f>IFERROR(_xlfn.STDEV.P(Rankings!$K1053:$R1053), "TBD")</f>
        <v>1.258305739</v>
      </c>
      <c r="H1053" s="418">
        <f>IFERROR(AVERAGE(Rankings!$K1053:$O1053, Rankings!$Q1053:$R1053), "TBD")</f>
        <v>2.8</v>
      </c>
      <c r="I1053" s="440" t="s">
        <v>2304</v>
      </c>
      <c r="J1053" s="440" t="s">
        <v>306</v>
      </c>
      <c r="K1053" s="430">
        <v>3.0</v>
      </c>
      <c r="L1053" s="431">
        <v>2.0</v>
      </c>
      <c r="M1053" s="431">
        <v>2.0</v>
      </c>
      <c r="N1053" s="555"/>
      <c r="O1053" s="431">
        <v>2.0</v>
      </c>
      <c r="P1053" s="431">
        <v>1.0</v>
      </c>
      <c r="Q1053" s="464">
        <v>5.0</v>
      </c>
      <c r="R1053" s="465"/>
      <c r="S1053" s="466">
        <f>IF(ISTEXT($V1053), "TBD", RANK(V1053,$V1048:$V1054))</f>
        <v>1</v>
      </c>
      <c r="T1053" s="467">
        <v>1.0</v>
      </c>
      <c r="U1053" s="468" t="b">
        <f>Rankings!$S1053=Rankings!$T1053</f>
        <v>1</v>
      </c>
      <c r="V1053" s="553">
        <f>IF(ISTEXT(Rankings!F1053), "TBD", (RANK($F1053,$F1048:$F1054) + IF(ISTEXT($H1053), 0, (RANK($H1053,$H1048:$H1054)/10)) + (RANK($G1053,$G1048:$G1054)/100)))</f>
        <v>5.55</v>
      </c>
      <c r="W1053" s="153"/>
      <c r="Y1053" s="443"/>
    </row>
    <row r="1054" ht="15.75" customHeight="1">
      <c r="A1054" s="189"/>
      <c r="B1054" s="189"/>
      <c r="C1054" s="189"/>
      <c r="D1054" s="563">
        <f t="shared" si="152"/>
        <v>46260</v>
      </c>
      <c r="E1054" s="230" t="str">
        <f>$Q$1</f>
        <v>Flocco</v>
      </c>
      <c r="F1054" s="474">
        <f>IFERROR(AVERAGE(Rankings!$K1054:$R1054), "TBD")</f>
        <v>2.5</v>
      </c>
      <c r="G1054" s="474">
        <f>IFERROR(_xlfn.STDEV.P(Rankings!$K1054:$R1054), "TBD")</f>
        <v>1.802775638</v>
      </c>
      <c r="H1054" s="474">
        <f>IFERROR(AVERAGE(Rankings!$K1054:$P1054, Rankings!$R1054), "TBD")</f>
        <v>2.8</v>
      </c>
      <c r="I1054" s="475" t="s">
        <v>2305</v>
      </c>
      <c r="J1054" s="475" t="s">
        <v>1402</v>
      </c>
      <c r="K1054" s="430">
        <v>1.0</v>
      </c>
      <c r="L1054" s="431">
        <v>5.0</v>
      </c>
      <c r="M1054" s="431">
        <v>5.0</v>
      </c>
      <c r="N1054" s="555"/>
      <c r="O1054" s="131">
        <v>1.0</v>
      </c>
      <c r="P1054" s="431">
        <v>2.0</v>
      </c>
      <c r="Q1054" s="464">
        <v>1.0</v>
      </c>
      <c r="R1054" s="465"/>
      <c r="S1054" s="466">
        <f>IF(ISTEXT($V1054), "TBD", RANK(V1054,$V1048:$V1054))</f>
        <v>2</v>
      </c>
      <c r="T1054" s="467">
        <v>1.0</v>
      </c>
      <c r="U1054" s="468" t="b">
        <f>Rankings!$S1054=Rankings!$T1054</f>
        <v>0</v>
      </c>
      <c r="V1054" s="553">
        <f>IF(ISTEXT(Rankings!F1054), "TBD", (RANK($F1054,$F1048:$F1054) + IF(ISTEXT($H1054), 0, (RANK($H1054,$H1048:$H1054)/10)) + (RANK($G1054,$G1048:$G1054)/100)))</f>
        <v>5.52</v>
      </c>
      <c r="W1054" s="208"/>
      <c r="Y1054" s="443"/>
    </row>
    <row r="1055" ht="15.75" customHeight="1">
      <c r="A1055" s="103">
        <v>46262.0</v>
      </c>
      <c r="B1055" s="453"/>
      <c r="C1055" s="454" t="str">
        <f t="array" ref="C1055">INDEX(Rankings!$E1055:$E1061, MATCH(1, (Rankings!$D1055:$D1061=$A1055)*(Rankings!$U1055:$U1061=TRUE()), 0))</f>
        <v>Logan</v>
      </c>
      <c r="D1055" s="551">
        <f>A1055</f>
        <v>46262</v>
      </c>
      <c r="E1055" s="455" t="str">
        <f>$K$1</f>
        <v>Logan</v>
      </c>
      <c r="F1055" s="400">
        <f>IFERROR(AVERAGE(Rankings!$K1055:$R1055), "TBD")</f>
        <v>3</v>
      </c>
      <c r="G1055" s="400">
        <f>IFERROR(_xlfn.STDEV.P(Rankings!$K1055:$R1055), "TBD")</f>
        <v>1.264911064</v>
      </c>
      <c r="H1055" s="400">
        <f>IFERROR(AVERAGE(Rankings!$L1055:$R1055), "TBD")</f>
        <v>3.25</v>
      </c>
      <c r="I1055" s="421" t="s">
        <v>2306</v>
      </c>
      <c r="J1055" s="421" t="s">
        <v>2307</v>
      </c>
      <c r="K1055" s="422">
        <v>2.0</v>
      </c>
      <c r="L1055" s="423">
        <v>4.0</v>
      </c>
      <c r="M1055" s="423">
        <v>2.0</v>
      </c>
      <c r="N1055" s="555"/>
      <c r="O1055" s="423">
        <v>2.0</v>
      </c>
      <c r="P1055" s="423">
        <v>5.0</v>
      </c>
      <c r="Q1055" s="456"/>
      <c r="R1055" s="457"/>
      <c r="S1055" s="458">
        <f>IF(ISTEXT($V1055), "TBD", RANK(V1055,$V1055:$V1061))</f>
        <v>1</v>
      </c>
      <c r="T1055" s="576">
        <v>1.0</v>
      </c>
      <c r="U1055" s="460" t="b">
        <f>Rankings!$S1055=Rankings!$T1055</f>
        <v>1</v>
      </c>
      <c r="V1055" s="553">
        <f>IF(ISTEXT(Rankings!F1055), "TBD", (RANK($F1055,$F1055:$F1061) + IF(ISTEXT($H1055), 0, (RANK($H1055,$H1055:$H1061)/10)) + (RANK($G1055,$G1055:$G1061)/100)))</f>
        <v>6.65</v>
      </c>
      <c r="W1055" s="329"/>
      <c r="Y1055" s="443"/>
    </row>
    <row r="1056" ht="15.75" customHeight="1">
      <c r="A1056" s="134"/>
      <c r="B1056" s="134"/>
      <c r="C1056" s="134"/>
      <c r="D1056" s="554">
        <f>D1055</f>
        <v>46262</v>
      </c>
      <c r="E1056" s="463" t="str">
        <f>$L$1</f>
        <v>Parker</v>
      </c>
      <c r="F1056" s="404">
        <f>IFERROR(AVERAGE(Rankings!$K1056:$R1056), "TBD")</f>
        <v>3.2</v>
      </c>
      <c r="G1056" s="404">
        <f>IFERROR(_xlfn.STDEV.P(Rankings!$K1056:$R1056), "TBD")</f>
        <v>2.039607805</v>
      </c>
      <c r="H1056" s="404">
        <f>IFERROR(AVERAGE(Rankings!$K1056, Rankings!$M1056:$R1056), "TBD")</f>
        <v>3.75</v>
      </c>
      <c r="I1056" s="429" t="s">
        <v>2308</v>
      </c>
      <c r="J1056" s="429" t="s">
        <v>2309</v>
      </c>
      <c r="K1056" s="430">
        <v>1.0</v>
      </c>
      <c r="L1056" s="431">
        <v>1.0</v>
      </c>
      <c r="M1056" s="431">
        <v>3.0</v>
      </c>
      <c r="N1056" s="555"/>
      <c r="O1056" s="431">
        <v>5.0</v>
      </c>
      <c r="P1056" s="431">
        <v>6.0</v>
      </c>
      <c r="Q1056" s="464"/>
      <c r="R1056" s="465"/>
      <c r="S1056" s="466">
        <f>IF(ISTEXT($V1056), "TBD", RANK(V1056,$V1055:$V1061))</f>
        <v>3</v>
      </c>
      <c r="T1056" s="444">
        <v>1.0</v>
      </c>
      <c r="U1056" s="468" t="b">
        <f>Rankings!$S1056=Rankings!$T1056</f>
        <v>0</v>
      </c>
      <c r="V1056" s="553">
        <f>IF(ISTEXT(Rankings!F1056), "TBD", (RANK($F1056,$F1055:$F1061) + IF(ISTEXT($H1056), 0, (RANK($H1056,$H1055:$H1061)/10)) + (RANK($G1056,$G1055:$G1061)/100)))</f>
        <v>4.41</v>
      </c>
      <c r="W1056" s="153"/>
      <c r="Y1056" s="443"/>
    </row>
    <row r="1057" ht="15.75" customHeight="1">
      <c r="A1057" s="134"/>
      <c r="B1057" s="134"/>
      <c r="C1057" s="134"/>
      <c r="D1057" s="556">
        <f>D1055</f>
        <v>46262</v>
      </c>
      <c r="E1057" s="469" t="str">
        <f>$M$1</f>
        <v>Giacomo</v>
      </c>
      <c r="F1057" s="408">
        <f>IFERROR(AVERAGE(Rankings!$K1057:$R1057), "TBD")</f>
        <v>3.8</v>
      </c>
      <c r="G1057" s="408">
        <f>IFERROR(_xlfn.STDEV.P(Rankings!$K1057:$R1057), "TBD")</f>
        <v>1.939071943</v>
      </c>
      <c r="H1057" s="408">
        <f>IFERROR(AVERAGE(Rankings!$K1057:$L1057, Rankings!$N1057:$R1057), "TBD")</f>
        <v>4.5</v>
      </c>
      <c r="I1057" s="437" t="s">
        <v>2310</v>
      </c>
      <c r="J1057" s="437" t="s">
        <v>2311</v>
      </c>
      <c r="K1057" s="430">
        <v>5.0</v>
      </c>
      <c r="L1057" s="431">
        <v>5.0</v>
      </c>
      <c r="M1057" s="431">
        <v>1.0</v>
      </c>
      <c r="N1057" s="555"/>
      <c r="O1057" s="431">
        <v>6.0</v>
      </c>
      <c r="P1057" s="431">
        <v>2.0</v>
      </c>
      <c r="Q1057" s="464"/>
      <c r="R1057" s="465"/>
      <c r="S1057" s="466">
        <f>IF(ISTEXT($V1057), "TBD", RANK(V1057,$V1055:$V1061))</f>
        <v>5</v>
      </c>
      <c r="T1057" s="467">
        <v>1.0</v>
      </c>
      <c r="U1057" s="468" t="b">
        <f>Rankings!$S1057=Rankings!$T1057</f>
        <v>0</v>
      </c>
      <c r="V1057" s="553">
        <f>IF(ISTEXT(Rankings!F1057), "TBD", (RANK($F1057,$F1055:$F1061) + IF(ISTEXT($H1057), 0, (RANK($H1057,$H1055:$H1061)/10)) + (RANK($G1057,$G1055:$G1061)/100)))</f>
        <v>2.22</v>
      </c>
      <c r="W1057" s="153"/>
      <c r="Y1057" s="443"/>
    </row>
    <row r="1058" ht="15.75" customHeight="1">
      <c r="A1058" s="134"/>
      <c r="B1058" s="134"/>
      <c r="C1058" s="134"/>
      <c r="D1058" s="557">
        <f>D1055</f>
        <v>46262</v>
      </c>
      <c r="E1058" s="470" t="str">
        <f>$N$1</f>
        <v>Rosey</v>
      </c>
      <c r="F1058" s="411" t="str">
        <f>IFERROR(AVERAGE(Rankings!$K1058:$R1058), "TBD")</f>
        <v>TBD</v>
      </c>
      <c r="G1058" s="411" t="str">
        <f>IFERROR(_xlfn.STDEV.P(Rankings!$K1058:$R1058), "TBD")</f>
        <v>TBD</v>
      </c>
      <c r="H1058" s="411" t="str">
        <f>IFERROR(AVERAGE(Rankings!$K1058:$M1058, Rankings!$O1058:$R1058), "TBD")</f>
        <v>TBD</v>
      </c>
      <c r="I1058" s="438"/>
      <c r="J1058" s="438"/>
      <c r="K1058" s="430"/>
      <c r="L1058" s="566"/>
      <c r="M1058" s="431" t="s">
        <v>2312</v>
      </c>
      <c r="N1058" s="555"/>
      <c r="O1058" s="431" t="s">
        <v>1697</v>
      </c>
      <c r="P1058" s="431" t="s">
        <v>1698</v>
      </c>
      <c r="Q1058" s="464" t="s">
        <v>1766</v>
      </c>
      <c r="R1058" s="465"/>
      <c r="S1058" s="466" t="str">
        <f>IF(ISTEXT($V1058), "TBD", RANK(V1058,$V1055:$V1061))</f>
        <v>TBD</v>
      </c>
      <c r="T1058" s="467">
        <v>1.0</v>
      </c>
      <c r="U1058" s="468" t="b">
        <f>Rankings!$S1058=Rankings!$T1058</f>
        <v>0</v>
      </c>
      <c r="V1058" s="553" t="str">
        <f>IF(ISTEXT(Rankings!F1058), "TBD", (RANK($F1058,$F1055:$F1061) + IF(ISTEXT($H1058), 0, (RANK($H1058,$H1055:$H1061)/10)) + (RANK($G1058,$G1055:$G1061)/100)))</f>
        <v>TBD</v>
      </c>
      <c r="W1058" s="153"/>
      <c r="Y1058" s="443"/>
    </row>
    <row r="1059" ht="15.75" customHeight="1">
      <c r="A1059" s="134"/>
      <c r="B1059" s="134"/>
      <c r="C1059" s="134"/>
      <c r="D1059" s="561">
        <f t="shared" ref="D1059:D1061" si="153">D1055</f>
        <v>46262</v>
      </c>
      <c r="E1059" s="471" t="str">
        <f>$O$1</f>
        <v>TTAC</v>
      </c>
      <c r="F1059" s="414">
        <f>IFERROR(AVERAGE(Rankings!$K1059:$R1059), "TBD")</f>
        <v>4</v>
      </c>
      <c r="G1059" s="414">
        <f>IFERROR(_xlfn.STDEV.P(Rankings!$K1059:$R1059), "TBD")</f>
        <v>1.897366596</v>
      </c>
      <c r="H1059" s="414">
        <f>IFERROR(AVERAGE(Rankings!$K1059:$N1059, Rankings!$P1059:$R1059), "TBD")</f>
        <v>4.75</v>
      </c>
      <c r="I1059" s="439" t="s">
        <v>2313</v>
      </c>
      <c r="J1059" s="439" t="s">
        <v>2314</v>
      </c>
      <c r="K1059" s="430">
        <v>3.0</v>
      </c>
      <c r="L1059" s="431">
        <v>6.0</v>
      </c>
      <c r="M1059" s="431">
        <v>6.0</v>
      </c>
      <c r="N1059" s="555"/>
      <c r="O1059" s="431">
        <v>1.0</v>
      </c>
      <c r="P1059" s="431">
        <v>4.0</v>
      </c>
      <c r="Q1059" s="464"/>
      <c r="R1059" s="465"/>
      <c r="S1059" s="466">
        <f>IF(ISTEXT($V1059), "TBD", RANK(V1059,$V1055:$V1061))</f>
        <v>6</v>
      </c>
      <c r="T1059" s="467">
        <v>1.0</v>
      </c>
      <c r="U1059" s="468" t="b">
        <f>Rankings!$S1059=Rankings!$T1059</f>
        <v>0</v>
      </c>
      <c r="V1059" s="553">
        <f>IF(ISTEXT(Rankings!F1059), "TBD", (RANK($F1059,$F1055:$F1061) + IF(ISTEXT($H1059), 0, (RANK($H1059,$H1055:$H1061)/10)) + (RANK($G1059,$G1055:$G1061)/100)))</f>
        <v>1.13</v>
      </c>
      <c r="W1059" s="153"/>
      <c r="Y1059" s="443"/>
    </row>
    <row r="1060" ht="15.75" customHeight="1">
      <c r="A1060" s="134"/>
      <c r="B1060" s="134"/>
      <c r="C1060" s="134"/>
      <c r="D1060" s="562">
        <f t="shared" si="153"/>
        <v>46262</v>
      </c>
      <c r="E1060" s="472" t="str">
        <f>$P$1</f>
        <v>Weston</v>
      </c>
      <c r="F1060" s="418">
        <f>IFERROR(AVERAGE(Rankings!$K1060:$R1060), "TBD")</f>
        <v>3.2</v>
      </c>
      <c r="G1060" s="418">
        <f>IFERROR(_xlfn.STDEV.P(Rankings!$K1060:$R1060), "TBD")</f>
        <v>1.469693846</v>
      </c>
      <c r="H1060" s="418">
        <f>IFERROR(AVERAGE(Rankings!$K1060:$O1060, Rankings!$Q1060:$R1060), "TBD")</f>
        <v>3.75</v>
      </c>
      <c r="I1060" s="440" t="s">
        <v>2315</v>
      </c>
      <c r="J1060" s="440" t="s">
        <v>832</v>
      </c>
      <c r="K1060" s="430">
        <v>4.0</v>
      </c>
      <c r="L1060" s="431">
        <v>2.0</v>
      </c>
      <c r="M1060" s="431">
        <v>5.0</v>
      </c>
      <c r="N1060" s="555"/>
      <c r="O1060" s="431">
        <v>4.0</v>
      </c>
      <c r="P1060" s="431">
        <v>1.0</v>
      </c>
      <c r="Q1060" s="464"/>
      <c r="R1060" s="465"/>
      <c r="S1060" s="466">
        <f>IF(ISTEXT($V1060), "TBD", RANK(V1060,$V1055:$V1061))</f>
        <v>2</v>
      </c>
      <c r="T1060" s="467">
        <v>1.0</v>
      </c>
      <c r="U1060" s="468" t="b">
        <f>Rankings!$S1060=Rankings!$T1060</f>
        <v>0</v>
      </c>
      <c r="V1060" s="553">
        <f>IF(ISTEXT(Rankings!F1060), "TBD", (RANK($F1060,$F1055:$F1061) + IF(ISTEXT($H1060), 0, (RANK($H1060,$H1055:$H1061)/10)) + (RANK($G1060,$G1055:$G1061)/100)))</f>
        <v>4.44</v>
      </c>
      <c r="W1060" s="153"/>
      <c r="Y1060" s="443"/>
    </row>
    <row r="1061" ht="15.75" customHeight="1">
      <c r="A1061" s="189"/>
      <c r="B1061" s="189"/>
      <c r="C1061" s="189"/>
      <c r="D1061" s="563">
        <f t="shared" si="153"/>
        <v>46262</v>
      </c>
      <c r="E1061" s="230" t="str">
        <f>$Q$1</f>
        <v>Flocco</v>
      </c>
      <c r="F1061" s="474">
        <f>IFERROR(AVERAGE(Rankings!$K1061:$R1061), "TBD")</f>
        <v>3.8</v>
      </c>
      <c r="G1061" s="474">
        <f>IFERROR(_xlfn.STDEV.P(Rankings!$K1061:$R1061), "TBD")</f>
        <v>1.166190379</v>
      </c>
      <c r="H1061" s="474">
        <f>IFERROR(AVERAGE(Rankings!$K1061:$P1061, Rankings!$R1061), "TBD")</f>
        <v>3.8</v>
      </c>
      <c r="I1061" s="475" t="s">
        <v>2316</v>
      </c>
      <c r="J1061" s="475" t="s">
        <v>2317</v>
      </c>
      <c r="K1061" s="430">
        <v>6.0</v>
      </c>
      <c r="L1061" s="431">
        <v>3.0</v>
      </c>
      <c r="M1061" s="431">
        <v>4.0</v>
      </c>
      <c r="N1061" s="555"/>
      <c r="O1061" s="431">
        <v>3.0</v>
      </c>
      <c r="P1061" s="431">
        <v>3.0</v>
      </c>
      <c r="Q1061" s="464"/>
      <c r="R1061" s="465"/>
      <c r="S1061" s="466">
        <f>IF(ISTEXT($V1061), "TBD", RANK(V1061,$V1055:$V1061))</f>
        <v>4</v>
      </c>
      <c r="T1061" s="467">
        <v>1.0</v>
      </c>
      <c r="U1061" s="468" t="b">
        <f>Rankings!$S1061=Rankings!$T1061</f>
        <v>0</v>
      </c>
      <c r="V1061" s="553">
        <f>IF(ISTEXT(Rankings!F1061), "TBD", (RANK($F1061,$F1055:$F1061) + IF(ISTEXT($H1061), 0, (RANK($H1061,$H1055:$H1061)/10)) + (RANK($G1061,$G1055:$G1061)/100)))</f>
        <v>2.36</v>
      </c>
      <c r="W1061" s="208"/>
      <c r="Y1061" s="443"/>
    </row>
    <row r="1062" ht="15.75" customHeight="1">
      <c r="A1062" s="103">
        <v>46265.0</v>
      </c>
      <c r="B1062" s="453"/>
      <c r="C1062" s="454" t="str">
        <f t="array" ref="C1062">INDEX(Rankings!$E1062:$E1068, MATCH(1, (Rankings!$D1062:$D1068=$A1062)*(Rankings!$U1062:$U1068=TRUE()), 0))</f>
        <v>Giacomo</v>
      </c>
      <c r="D1062" s="551">
        <f>A1062</f>
        <v>46265</v>
      </c>
      <c r="E1062" s="455" t="str">
        <f>$K$1</f>
        <v>Logan</v>
      </c>
      <c r="F1062" s="400">
        <f>IFERROR(AVERAGE(Rankings!$K1062:$R1062), "TBD")</f>
        <v>2.6</v>
      </c>
      <c r="G1062" s="400">
        <f>IFERROR(_xlfn.STDEV.P(Rankings!$K1062:$R1062), "TBD")</f>
        <v>0.4898979486</v>
      </c>
      <c r="H1062" s="400">
        <f>IFERROR(AVERAGE(Rankings!$L1062:$R1062), "TBD")</f>
        <v>2.75</v>
      </c>
      <c r="I1062" s="421" t="s">
        <v>2318</v>
      </c>
      <c r="J1062" s="421" t="s">
        <v>2319</v>
      </c>
      <c r="K1062" s="422">
        <v>2.0</v>
      </c>
      <c r="L1062" s="423">
        <v>3.0</v>
      </c>
      <c r="M1062" s="423">
        <v>3.0</v>
      </c>
      <c r="N1062" s="555"/>
      <c r="O1062" s="423">
        <v>2.0</v>
      </c>
      <c r="P1062" s="423">
        <v>3.0</v>
      </c>
      <c r="Q1062" s="456"/>
      <c r="R1062" s="457"/>
      <c r="S1062" s="458">
        <f>IF(ISTEXT($V1062), "TBD", RANK(V1062,$V1062:$V1068))</f>
        <v>3</v>
      </c>
      <c r="T1062" s="576">
        <v>1.0</v>
      </c>
      <c r="U1062" s="460" t="b">
        <f>Rankings!$S1062=Rankings!$T1062</f>
        <v>0</v>
      </c>
      <c r="V1062" s="553">
        <f>IF(ISTEXT(Rankings!F1062), "TBD", (RANK($F1062,$F1062:$F1068) + IF(ISTEXT($H1062), 0, (RANK($H1062,$H1062:$H1068)/10)) + (RANK($G1062,$G1062:$G1068)/100)))</f>
        <v>3.33</v>
      </c>
      <c r="W1062" s="329"/>
      <c r="Y1062" s="443"/>
    </row>
    <row r="1063" ht="15.75" customHeight="1">
      <c r="A1063" s="134"/>
      <c r="B1063" s="134"/>
      <c r="C1063" s="134"/>
      <c r="D1063" s="554">
        <f>D1062</f>
        <v>46265</v>
      </c>
      <c r="E1063" s="463" t="str">
        <f>$L$1</f>
        <v>Parker</v>
      </c>
      <c r="F1063" s="404">
        <f>IFERROR(AVERAGE(Rankings!$K1063:$R1063), "TBD")</f>
        <v>2.4</v>
      </c>
      <c r="G1063" s="404">
        <f>IFERROR(_xlfn.STDEV.P(Rankings!$K1063:$R1063), "TBD")</f>
        <v>1.2</v>
      </c>
      <c r="H1063" s="404">
        <f>IFERROR(AVERAGE(Rankings!$K1063, Rankings!$M1063:$R1063), "TBD")</f>
        <v>2.75</v>
      </c>
      <c r="I1063" s="429" t="s">
        <v>2320</v>
      </c>
      <c r="J1063" s="429" t="s">
        <v>2321</v>
      </c>
      <c r="K1063" s="430">
        <v>3.0</v>
      </c>
      <c r="L1063" s="431">
        <v>1.0</v>
      </c>
      <c r="M1063" s="431">
        <v>1.0</v>
      </c>
      <c r="N1063" s="555"/>
      <c r="O1063" s="431">
        <v>3.0</v>
      </c>
      <c r="P1063" s="431">
        <v>4.0</v>
      </c>
      <c r="Q1063" s="464"/>
      <c r="R1063" s="465"/>
      <c r="S1063" s="466">
        <f>IF(ISTEXT($V1063), "TBD", RANK(V1063,$V1062:$V1068))</f>
        <v>2</v>
      </c>
      <c r="T1063" s="444">
        <v>1.0</v>
      </c>
      <c r="U1063" s="468" t="b">
        <f>Rankings!$S1063=Rankings!$T1063</f>
        <v>0</v>
      </c>
      <c r="V1063" s="553">
        <f>IF(ISTEXT(Rankings!F1063), "TBD", (RANK($F1063,$F1062:$F1068) + IF(ISTEXT($H1063), 0, (RANK($H1063,$H1062:$H1068)/10)) + (RANK($G1063,$G1062:$G1068)/100)))</f>
        <v>4.31</v>
      </c>
      <c r="W1063" s="153"/>
      <c r="Y1063" s="443"/>
    </row>
    <row r="1064" ht="15.75" customHeight="1">
      <c r="A1064" s="134"/>
      <c r="B1064" s="134"/>
      <c r="C1064" s="134"/>
      <c r="D1064" s="556">
        <f>D1062</f>
        <v>46265</v>
      </c>
      <c r="E1064" s="469" t="str">
        <f>$M$1</f>
        <v>Giacomo</v>
      </c>
      <c r="F1064" s="408">
        <f>IFERROR(AVERAGE(Rankings!$K1064:$R1064), "TBD")</f>
        <v>1.4</v>
      </c>
      <c r="G1064" s="408">
        <f>IFERROR(_xlfn.STDEV.P(Rankings!$K1064:$R1064), "TBD")</f>
        <v>0.4898979486</v>
      </c>
      <c r="H1064" s="408">
        <f>IFERROR(AVERAGE(Rankings!$K1064:$L1064, Rankings!$N1064:$R1064), "TBD")</f>
        <v>1.25</v>
      </c>
      <c r="I1064" s="437" t="s">
        <v>2322</v>
      </c>
      <c r="J1064" s="437" t="s">
        <v>2323</v>
      </c>
      <c r="K1064" s="430">
        <v>1.0</v>
      </c>
      <c r="L1064" s="431">
        <v>2.0</v>
      </c>
      <c r="M1064" s="431">
        <v>2.0</v>
      </c>
      <c r="N1064" s="555"/>
      <c r="O1064" s="431">
        <v>1.0</v>
      </c>
      <c r="P1064" s="431">
        <v>1.0</v>
      </c>
      <c r="Q1064" s="464"/>
      <c r="R1064" s="465"/>
      <c r="S1064" s="466">
        <f>IF(ISTEXT($V1064), "TBD", RANK(V1064,$V1062:$V1068))</f>
        <v>1</v>
      </c>
      <c r="T1064" s="467">
        <v>1.0</v>
      </c>
      <c r="U1064" s="468" t="b">
        <f>Rankings!$S1064=Rankings!$T1064</f>
        <v>1</v>
      </c>
      <c r="V1064" s="553">
        <f>IF(ISTEXT(Rankings!F1064), "TBD", (RANK($F1064,$F1062:$F1068) + IF(ISTEXT($H1064), 0, (RANK($H1064,$H1062:$H1068)/10)) + (RANK($G1064,$G1062:$G1068)/100)))</f>
        <v>5.53</v>
      </c>
      <c r="W1064" s="153"/>
      <c r="Y1064" s="443"/>
    </row>
    <row r="1065" ht="15.75" customHeight="1">
      <c r="A1065" s="134"/>
      <c r="B1065" s="134"/>
      <c r="C1065" s="134"/>
      <c r="D1065" s="557">
        <f>D1062</f>
        <v>46265</v>
      </c>
      <c r="E1065" s="470" t="str">
        <f>$N$1</f>
        <v>Rosey</v>
      </c>
      <c r="F1065" s="411" t="str">
        <f>IFERROR(AVERAGE(Rankings!$K1065:$R1065), "TBD")</f>
        <v>TBD</v>
      </c>
      <c r="G1065" s="411" t="str">
        <f>IFERROR(_xlfn.STDEV.P(Rankings!$K1065:$R1065), "TBD")</f>
        <v>TBD</v>
      </c>
      <c r="H1065" s="411" t="str">
        <f>IFERROR(AVERAGE(Rankings!$K1065:$M1065, Rankings!$O1065:$R1065), "TBD")</f>
        <v>TBD</v>
      </c>
      <c r="I1065" s="438"/>
      <c r="J1065" s="438"/>
      <c r="K1065" s="430"/>
      <c r="L1065" s="566"/>
      <c r="M1065" s="431" t="s">
        <v>2324</v>
      </c>
      <c r="N1065" s="555"/>
      <c r="O1065" s="431" t="s">
        <v>1697</v>
      </c>
      <c r="P1065" s="431" t="s">
        <v>1698</v>
      </c>
      <c r="Q1065" s="464" t="s">
        <v>1766</v>
      </c>
      <c r="R1065" s="465"/>
      <c r="S1065" s="466" t="str">
        <f>IF(ISTEXT($V1065), "TBD", RANK(V1065,$V1062:$V1068))</f>
        <v>TBD</v>
      </c>
      <c r="T1065" s="467">
        <v>1.0</v>
      </c>
      <c r="U1065" s="468" t="b">
        <f>Rankings!$S1065=Rankings!$T1065</f>
        <v>0</v>
      </c>
      <c r="V1065" s="553" t="str">
        <f>IF(ISTEXT(Rankings!F1065), "TBD", (RANK($F1065,$F1062:$F1068) + IF(ISTEXT($H1065), 0, (RANK($H1065,$H1062:$H1068)/10)) + (RANK($G1065,$G1062:$G1068)/100)))</f>
        <v>TBD</v>
      </c>
      <c r="W1065" s="153"/>
      <c r="Y1065" s="443"/>
    </row>
    <row r="1066" ht="15.75" customHeight="1">
      <c r="A1066" s="134"/>
      <c r="B1066" s="134"/>
      <c r="C1066" s="134"/>
      <c r="D1066" s="561">
        <f t="shared" ref="D1066:D1068" si="154">D1062</f>
        <v>46265</v>
      </c>
      <c r="E1066" s="471" t="str">
        <f>$O$1</f>
        <v>TTAC</v>
      </c>
      <c r="F1066" s="414">
        <f>IFERROR(AVERAGE(Rankings!$K1066:$R1066), "TBD")</f>
        <v>5.4</v>
      </c>
      <c r="G1066" s="414">
        <f>IFERROR(_xlfn.STDEV.P(Rankings!$K1066:$R1066), "TBD")</f>
        <v>0.4898979486</v>
      </c>
      <c r="H1066" s="414">
        <f>IFERROR(AVERAGE(Rankings!$K1066:$N1066, Rankings!$P1066:$R1066), "TBD")</f>
        <v>5.5</v>
      </c>
      <c r="I1066" s="439" t="s">
        <v>2325</v>
      </c>
      <c r="J1066" s="439" t="s">
        <v>2326</v>
      </c>
      <c r="K1066" s="430">
        <v>5.0</v>
      </c>
      <c r="L1066" s="431">
        <v>5.0</v>
      </c>
      <c r="M1066" s="431">
        <v>6.0</v>
      </c>
      <c r="N1066" s="555"/>
      <c r="O1066" s="431">
        <v>5.0</v>
      </c>
      <c r="P1066" s="431">
        <v>6.0</v>
      </c>
      <c r="Q1066" s="464"/>
      <c r="R1066" s="465"/>
      <c r="S1066" s="466">
        <f>IF(ISTEXT($V1066), "TBD", RANK(V1066,$V1062:$V1068))</f>
        <v>5</v>
      </c>
      <c r="T1066" s="467">
        <v>1.0</v>
      </c>
      <c r="U1066" s="468" t="b">
        <f>Rankings!$S1066=Rankings!$T1066</f>
        <v>0</v>
      </c>
      <c r="V1066" s="553">
        <f>IF(ISTEXT(Rankings!F1066), "TBD", (RANK($F1066,$F1062:$F1068) + IF(ISTEXT($H1066), 0, (RANK($H1066,$H1062:$H1068)/10)) + (RANK($G1066,$G1062:$G1068)/100)))</f>
        <v>1.13</v>
      </c>
      <c r="W1066" s="153"/>
      <c r="Y1066" s="443"/>
    </row>
    <row r="1067" ht="15.75" customHeight="1">
      <c r="A1067" s="134"/>
      <c r="B1067" s="134"/>
      <c r="C1067" s="134"/>
      <c r="D1067" s="562">
        <f t="shared" si="154"/>
        <v>46265</v>
      </c>
      <c r="E1067" s="472" t="str">
        <f>$P$1</f>
        <v>Weston</v>
      </c>
      <c r="F1067" s="418">
        <f>IFERROR(AVERAGE(Rankings!$K1067:$R1067), "TBD")</f>
        <v>3.6</v>
      </c>
      <c r="G1067" s="418">
        <f>IFERROR(_xlfn.STDEV.P(Rankings!$K1067:$R1067), "TBD")</f>
        <v>0.8</v>
      </c>
      <c r="H1067" s="418">
        <f>IFERROR(AVERAGE(Rankings!$K1067:$O1067, Rankings!$Q1067:$R1067), "TBD")</f>
        <v>4</v>
      </c>
      <c r="I1067" s="440" t="s">
        <v>2327</v>
      </c>
      <c r="J1067" s="440" t="s">
        <v>2328</v>
      </c>
      <c r="K1067" s="430">
        <v>4.0</v>
      </c>
      <c r="L1067" s="431">
        <v>4.0</v>
      </c>
      <c r="M1067" s="431">
        <v>4.0</v>
      </c>
      <c r="N1067" s="555"/>
      <c r="O1067" s="431">
        <v>4.0</v>
      </c>
      <c r="P1067" s="431">
        <v>2.0</v>
      </c>
      <c r="Q1067" s="464"/>
      <c r="R1067" s="465"/>
      <c r="S1067" s="466">
        <f>IF(ISTEXT($V1067), "TBD", RANK(V1067,$V1062:$V1068))</f>
        <v>4</v>
      </c>
      <c r="T1067" s="467">
        <v>1.0</v>
      </c>
      <c r="U1067" s="468" t="b">
        <f>Rankings!$S1067=Rankings!$T1067</f>
        <v>0</v>
      </c>
      <c r="V1067" s="553">
        <f>IF(ISTEXT(Rankings!F1067), "TBD", (RANK($F1067,$F1062:$F1068) + IF(ISTEXT($H1067), 0, (RANK($H1067,$H1062:$H1068)/10)) + (RANK($G1067,$G1062:$G1068)/100)))</f>
        <v>2.22</v>
      </c>
      <c r="W1067" s="153"/>
      <c r="Y1067" s="443"/>
    </row>
    <row r="1068" ht="15.75" customHeight="1">
      <c r="A1068" s="189"/>
      <c r="B1068" s="189"/>
      <c r="C1068" s="189"/>
      <c r="D1068" s="563">
        <f t="shared" si="154"/>
        <v>46265</v>
      </c>
      <c r="E1068" s="230" t="str">
        <f>$Q$1</f>
        <v>Flocco</v>
      </c>
      <c r="F1068" s="474" t="str">
        <f>IFERROR(AVERAGE(Rankings!$K1068:$R1068), "TBD")</f>
        <v>TBD</v>
      </c>
      <c r="G1068" s="474" t="str">
        <f>IFERROR(_xlfn.STDEV.P(Rankings!$K1068:$R1068), "TBD")</f>
        <v>TBD</v>
      </c>
      <c r="H1068" s="474" t="str">
        <f>IFERROR(AVERAGE(Rankings!$K1068:$P1068, Rankings!$R1068), "TBD")</f>
        <v>TBD</v>
      </c>
      <c r="I1068" s="475"/>
      <c r="J1068" s="475"/>
      <c r="K1068" s="430"/>
      <c r="L1068" s="431"/>
      <c r="M1068" s="431" t="s">
        <v>2329</v>
      </c>
      <c r="N1068" s="555"/>
      <c r="O1068" s="431"/>
      <c r="P1068" s="431" t="s">
        <v>1698</v>
      </c>
      <c r="Q1068" s="464"/>
      <c r="R1068" s="465"/>
      <c r="S1068" s="466" t="str">
        <f>IF(ISTEXT($V1068), "TBD", RANK(V1068,$V1062:$V1068))</f>
        <v>TBD</v>
      </c>
      <c r="T1068" s="467">
        <v>1.0</v>
      </c>
      <c r="U1068" s="468" t="b">
        <f>Rankings!$S1068=Rankings!$T1068</f>
        <v>0</v>
      </c>
      <c r="V1068" s="553" t="str">
        <f>IF(ISTEXT(Rankings!F1068), "TBD", (RANK($F1068,$F1062:$F1068) + IF(ISTEXT($H1068), 0, (RANK($H1068,$H1062:$H1068)/10)) + (RANK($G1068,$G1062:$G1068)/100)))</f>
        <v>TBD</v>
      </c>
      <c r="W1068" s="208"/>
      <c r="Y1068" s="443"/>
    </row>
    <row r="1069" ht="15.75" customHeight="1">
      <c r="A1069" s="103">
        <v>46267.0</v>
      </c>
      <c r="B1069" s="453"/>
      <c r="C1069" s="454" t="str">
        <f t="array" ref="C1069">INDEX(Rankings!$E1069:$E1075, MATCH(1, (Rankings!$D1069:$D1075=$A1069)*(Rankings!$U1069:$U1075=TRUE()), 0))</f>
        <v>TTAC</v>
      </c>
      <c r="D1069" s="551">
        <f>A1069</f>
        <v>46267</v>
      </c>
      <c r="E1069" s="455" t="str">
        <f>$K$1</f>
        <v>Logan</v>
      </c>
      <c r="F1069" s="400">
        <f>IFERROR(AVERAGE(Rankings!$K1069:$R1069), "TBD")</f>
        <v>3.4</v>
      </c>
      <c r="G1069" s="400">
        <f>IFERROR(_xlfn.STDEV.P(Rankings!$K1069:$R1069), "TBD")</f>
        <v>1.624807681</v>
      </c>
      <c r="H1069" s="400">
        <f>IFERROR(AVERAGE(Rankings!$L1069:$R1069), "TBD")</f>
        <v>4</v>
      </c>
      <c r="I1069" s="421" t="s">
        <v>2330</v>
      </c>
      <c r="J1069" s="421" t="s">
        <v>2331</v>
      </c>
      <c r="K1069" s="422">
        <v>1.0</v>
      </c>
      <c r="L1069" s="423">
        <v>5.0</v>
      </c>
      <c r="M1069" s="423">
        <v>4.0</v>
      </c>
      <c r="N1069" s="555"/>
      <c r="O1069" s="423">
        <v>5.0</v>
      </c>
      <c r="P1069" s="423">
        <v>2.0</v>
      </c>
      <c r="Q1069" s="456"/>
      <c r="R1069" s="457"/>
      <c r="S1069" s="458">
        <f>IF(ISTEXT($V1069), "TBD", RANK(V1069,$V1069:$V1075))</f>
        <v>4</v>
      </c>
      <c r="T1069" s="576">
        <v>1.0</v>
      </c>
      <c r="U1069" s="460" t="b">
        <f>Rankings!$S1069=Rankings!$T1069</f>
        <v>0</v>
      </c>
      <c r="V1069" s="553">
        <f>IF(ISTEXT(Rankings!F1069), "TBD", (RANK($F1069,$F1069:$F1075) + IF(ISTEXT($H1069), 0, (RANK($H1069,$H1069:$H1075)/10)) + (RANK($G1069,$G1069:$G1075)/100)))</f>
        <v>2.11</v>
      </c>
      <c r="W1069" s="329"/>
      <c r="Y1069" s="443"/>
    </row>
    <row r="1070" ht="15.75" customHeight="1">
      <c r="A1070" s="134"/>
      <c r="B1070" s="134"/>
      <c r="C1070" s="134"/>
      <c r="D1070" s="554">
        <f>D1069</f>
        <v>46267</v>
      </c>
      <c r="E1070" s="463" t="str">
        <f>$L$1</f>
        <v>Parker</v>
      </c>
      <c r="F1070" s="404">
        <f>IFERROR(AVERAGE(Rankings!$K1070:$R1070), "TBD")</f>
        <v>3.4</v>
      </c>
      <c r="G1070" s="404">
        <f>IFERROR(_xlfn.STDEV.P(Rankings!$K1070:$R1070), "TBD")</f>
        <v>1.2</v>
      </c>
      <c r="H1070" s="404">
        <f>IFERROR(AVERAGE(Rankings!$K1070, Rankings!$M1070:$R1070), "TBD")</f>
        <v>3.75</v>
      </c>
      <c r="I1070" s="429" t="s">
        <v>2332</v>
      </c>
      <c r="J1070" s="429" t="s">
        <v>2333</v>
      </c>
      <c r="K1070" s="430">
        <v>4.0</v>
      </c>
      <c r="L1070" s="431">
        <v>2.0</v>
      </c>
      <c r="M1070" s="431">
        <v>5.0</v>
      </c>
      <c r="N1070" s="555"/>
      <c r="O1070" s="431">
        <v>2.0</v>
      </c>
      <c r="P1070" s="431">
        <v>4.0</v>
      </c>
      <c r="Q1070" s="464"/>
      <c r="R1070" s="465"/>
      <c r="S1070" s="466">
        <f>IF(ISTEXT($V1070), "TBD", RANK(V1070,$V1069:$V1075))</f>
        <v>3</v>
      </c>
      <c r="T1070" s="444">
        <v>1.0</v>
      </c>
      <c r="U1070" s="468" t="b">
        <f>Rankings!$S1070=Rankings!$T1070</f>
        <v>0</v>
      </c>
      <c r="V1070" s="553">
        <f>IF(ISTEXT(Rankings!F1070), "TBD", (RANK($F1070,$F1069:$F1075) + IF(ISTEXT($H1070), 0, (RANK($H1070,$H1069:$H1075)/10)) + (RANK($G1070,$G1069:$G1075)/100)))</f>
        <v>2.23</v>
      </c>
      <c r="W1070" s="153"/>
      <c r="Y1070" s="443"/>
    </row>
    <row r="1071" ht="15.75" customHeight="1">
      <c r="A1071" s="134"/>
      <c r="B1071" s="134"/>
      <c r="C1071" s="134"/>
      <c r="D1071" s="556">
        <f>D1069</f>
        <v>46267</v>
      </c>
      <c r="E1071" s="469" t="str">
        <f>$M$1</f>
        <v>Giacomo</v>
      </c>
      <c r="F1071" s="408">
        <f>IFERROR(AVERAGE(Rankings!$K1071:$R1071), "TBD")</f>
        <v>2.8</v>
      </c>
      <c r="G1071" s="408">
        <f>IFERROR(_xlfn.STDEV.P(Rankings!$K1071:$R1071), "TBD")</f>
        <v>1.6</v>
      </c>
      <c r="H1071" s="408">
        <f>IFERROR(AVERAGE(Rankings!$K1071:$L1071, Rankings!$N1071:$R1071), "TBD")</f>
        <v>3.25</v>
      </c>
      <c r="I1071" s="437" t="s">
        <v>2334</v>
      </c>
      <c r="J1071" s="437" t="s">
        <v>2335</v>
      </c>
      <c r="K1071" s="430">
        <v>5.0</v>
      </c>
      <c r="L1071" s="431">
        <v>1.0</v>
      </c>
      <c r="M1071" s="431">
        <v>1.0</v>
      </c>
      <c r="N1071" s="555"/>
      <c r="O1071" s="431">
        <v>4.0</v>
      </c>
      <c r="P1071" s="431">
        <v>3.0</v>
      </c>
      <c r="Q1071" s="464"/>
      <c r="R1071" s="465"/>
      <c r="S1071" s="466">
        <f>IF(ISTEXT($V1071), "TBD", RANK(V1071,$V1069:$V1075))</f>
        <v>2</v>
      </c>
      <c r="T1071" s="467">
        <v>1.0</v>
      </c>
      <c r="U1071" s="468" t="b">
        <f>Rankings!$S1071=Rankings!$T1071</f>
        <v>0</v>
      </c>
      <c r="V1071" s="553">
        <f>IF(ISTEXT(Rankings!F1071), "TBD", (RANK($F1071,$F1069:$F1075) + IF(ISTEXT($H1071), 0, (RANK($H1071,$H1069:$H1075)/10)) + (RANK($G1071,$G1069:$G1075)/100)))</f>
        <v>4.32</v>
      </c>
      <c r="W1071" s="153"/>
      <c r="Y1071" s="443"/>
    </row>
    <row r="1072" ht="15.75" customHeight="1">
      <c r="A1072" s="134"/>
      <c r="B1072" s="134"/>
      <c r="C1072" s="134"/>
      <c r="D1072" s="557">
        <f>D1069</f>
        <v>46267</v>
      </c>
      <c r="E1072" s="470" t="str">
        <f>$N$1</f>
        <v>Rosey</v>
      </c>
      <c r="F1072" s="411" t="str">
        <f>IFERROR(AVERAGE(Rankings!$K1072:$R1072), "TBD")</f>
        <v>TBD</v>
      </c>
      <c r="G1072" s="411" t="str">
        <f>IFERROR(_xlfn.STDEV.P(Rankings!$K1072:$R1072), "TBD")</f>
        <v>TBD</v>
      </c>
      <c r="H1072" s="411" t="str">
        <f>IFERROR(AVERAGE(Rankings!$K1072:$M1072, Rankings!$O1072:$R1072), "TBD")</f>
        <v>TBD</v>
      </c>
      <c r="I1072" s="438"/>
      <c r="J1072" s="438"/>
      <c r="K1072" s="430"/>
      <c r="L1072" s="566"/>
      <c r="M1072" s="431" t="s">
        <v>2336</v>
      </c>
      <c r="N1072" s="555"/>
      <c r="O1072" s="431" t="s">
        <v>1697</v>
      </c>
      <c r="P1072" s="431" t="s">
        <v>1698</v>
      </c>
      <c r="Q1072" s="464" t="s">
        <v>1766</v>
      </c>
      <c r="R1072" s="465"/>
      <c r="S1072" s="466" t="str">
        <f>IF(ISTEXT($V1072), "TBD", RANK(V1072,$V1069:$V1075))</f>
        <v>TBD</v>
      </c>
      <c r="T1072" s="467">
        <v>1.0</v>
      </c>
      <c r="U1072" s="468" t="b">
        <f>Rankings!$S1072=Rankings!$T1072</f>
        <v>0</v>
      </c>
      <c r="V1072" s="553" t="str">
        <f>IF(ISTEXT(Rankings!F1072), "TBD", (RANK($F1072,$F1069:$F1075) + IF(ISTEXT($H1072), 0, (RANK($H1072,$H1069:$H1075)/10)) + (RANK($G1072,$G1069:$G1075)/100)))</f>
        <v>TBD</v>
      </c>
      <c r="W1072" s="153"/>
      <c r="Y1072" s="443"/>
    </row>
    <row r="1073" ht="15.75" customHeight="1">
      <c r="A1073" s="134"/>
      <c r="B1073" s="134"/>
      <c r="C1073" s="134"/>
      <c r="D1073" s="561">
        <f t="shared" ref="D1073:D1075" si="155">D1069</f>
        <v>46267</v>
      </c>
      <c r="E1073" s="471" t="str">
        <f>$O$1</f>
        <v>TTAC</v>
      </c>
      <c r="F1073" s="414">
        <f>IFERROR(AVERAGE(Rankings!$K1073:$R1073), "TBD")</f>
        <v>1.8</v>
      </c>
      <c r="G1073" s="414">
        <f>IFERROR(_xlfn.STDEV.P(Rankings!$K1073:$R1073), "TBD")</f>
        <v>0.7483314774</v>
      </c>
      <c r="H1073" s="414">
        <f>IFERROR(AVERAGE(Rankings!$K1073:$N1073, Rankings!$P1073:$R1073), "TBD")</f>
        <v>2</v>
      </c>
      <c r="I1073" s="439" t="s">
        <v>2337</v>
      </c>
      <c r="J1073" s="439" t="s">
        <v>298</v>
      </c>
      <c r="K1073" s="430">
        <v>2.0</v>
      </c>
      <c r="L1073" s="431">
        <v>3.0</v>
      </c>
      <c r="M1073" s="431">
        <v>2.0</v>
      </c>
      <c r="N1073" s="555"/>
      <c r="O1073" s="431">
        <v>1.0</v>
      </c>
      <c r="P1073" s="431">
        <v>1.0</v>
      </c>
      <c r="Q1073" s="464"/>
      <c r="R1073" s="465"/>
      <c r="S1073" s="466">
        <f>IF(ISTEXT($V1073), "TBD", RANK(V1073,$V1069:$V1075))</f>
        <v>1</v>
      </c>
      <c r="T1073" s="467">
        <v>1.0</v>
      </c>
      <c r="U1073" s="468" t="b">
        <f>Rankings!$S1073=Rankings!$T1073</f>
        <v>1</v>
      </c>
      <c r="V1073" s="553">
        <f>IF(ISTEXT(Rankings!F1073), "TBD", (RANK($F1073,$F1069:$F1075) + IF(ISTEXT($H1073), 0, (RANK($H1073,$H1069:$H1075)/10)) + (RANK($G1073,$G1069:$G1075)/100)))</f>
        <v>5.55</v>
      </c>
      <c r="W1073" s="153"/>
      <c r="Y1073" s="443"/>
    </row>
    <row r="1074" ht="15.75" customHeight="1">
      <c r="A1074" s="134"/>
      <c r="B1074" s="134"/>
      <c r="C1074" s="134"/>
      <c r="D1074" s="562">
        <f t="shared" si="155"/>
        <v>46267</v>
      </c>
      <c r="E1074" s="472" t="str">
        <f>$P$1</f>
        <v>Weston</v>
      </c>
      <c r="F1074" s="418">
        <f>IFERROR(AVERAGE(Rankings!$K1074:$R1074), "TBD")</f>
        <v>3.6</v>
      </c>
      <c r="G1074" s="418">
        <f>IFERROR(_xlfn.STDEV.P(Rankings!$K1074:$R1074), "TBD")</f>
        <v>0.8</v>
      </c>
      <c r="H1074" s="418">
        <f>IFERROR(AVERAGE(Rankings!$K1074:$O1074, Rankings!$Q1074:$R1074), "TBD")</f>
        <v>3.25</v>
      </c>
      <c r="I1074" s="440" t="s">
        <v>2338</v>
      </c>
      <c r="J1074" s="440" t="s">
        <v>2339</v>
      </c>
      <c r="K1074" s="430">
        <v>3.0</v>
      </c>
      <c r="L1074" s="431">
        <v>4.0</v>
      </c>
      <c r="M1074" s="431">
        <v>3.0</v>
      </c>
      <c r="N1074" s="555"/>
      <c r="O1074" s="431">
        <v>3.0</v>
      </c>
      <c r="P1074" s="431">
        <v>5.0</v>
      </c>
      <c r="Q1074" s="464"/>
      <c r="R1074" s="465"/>
      <c r="S1074" s="466">
        <f>IF(ISTEXT($V1074), "TBD", RANK(V1074,$V1069:$V1075))</f>
        <v>5</v>
      </c>
      <c r="T1074" s="467">
        <v>1.0</v>
      </c>
      <c r="U1074" s="468" t="b">
        <f>Rankings!$S1074=Rankings!$T1074</f>
        <v>0</v>
      </c>
      <c r="V1074" s="553">
        <f>IF(ISTEXT(Rankings!F1074), "TBD", (RANK($F1074,$F1069:$F1075) + IF(ISTEXT($H1074), 0, (RANK($H1074,$H1069:$H1075)/10)) + (RANK($G1074,$G1069:$G1075)/100)))</f>
        <v>1.34</v>
      </c>
      <c r="W1074" s="153"/>
      <c r="Y1074" s="443"/>
    </row>
    <row r="1075" ht="15.75" customHeight="1">
      <c r="A1075" s="189"/>
      <c r="B1075" s="189"/>
      <c r="C1075" s="189"/>
      <c r="D1075" s="563">
        <f t="shared" si="155"/>
        <v>46267</v>
      </c>
      <c r="E1075" s="230" t="str">
        <f>$Q$1</f>
        <v>Flocco</v>
      </c>
      <c r="F1075" s="474" t="str">
        <f>IFERROR(AVERAGE(Rankings!$K1075:$R1075), "TBD")</f>
        <v>TBD</v>
      </c>
      <c r="G1075" s="474" t="str">
        <f>IFERROR(_xlfn.STDEV.P(Rankings!$K1075:$R1075), "TBD")</f>
        <v>TBD</v>
      </c>
      <c r="H1075" s="474" t="str">
        <f>IFERROR(AVERAGE(Rankings!$K1075:$P1075, Rankings!$R1075), "TBD")</f>
        <v>TBD</v>
      </c>
      <c r="I1075" s="475"/>
      <c r="J1075" s="475"/>
      <c r="K1075" s="430"/>
      <c r="L1075" s="431"/>
      <c r="M1075" s="431" t="s">
        <v>2340</v>
      </c>
      <c r="N1075" s="555"/>
      <c r="O1075" s="431"/>
      <c r="P1075" s="431" t="s">
        <v>1698</v>
      </c>
      <c r="Q1075" s="464"/>
      <c r="R1075" s="465"/>
      <c r="S1075" s="466" t="str">
        <f>IF(ISTEXT($V1075), "TBD", RANK(V1075,$V1069:$V1075))</f>
        <v>TBD</v>
      </c>
      <c r="T1075" s="467">
        <v>1.0</v>
      </c>
      <c r="U1075" s="468" t="b">
        <f>Rankings!$S1075=Rankings!$T1075</f>
        <v>0</v>
      </c>
      <c r="V1075" s="553" t="str">
        <f>IF(ISTEXT(Rankings!F1075), "TBD", (RANK($F1075,$F1069:$F1075) + IF(ISTEXT($H1075), 0, (RANK($H1075,$H1069:$H1075)/10)) + (RANK($G1075,$G1069:$G1075)/100)))</f>
        <v>TBD</v>
      </c>
      <c r="W1075" s="208"/>
      <c r="Y1075" s="443"/>
    </row>
    <row r="1076" ht="15.75" customHeight="1">
      <c r="A1076" s="103">
        <v>46269.0</v>
      </c>
      <c r="B1076" s="453"/>
      <c r="C1076" s="454" t="str">
        <f t="array" ref="C1076">INDEX(Rankings!$E1076:$E1082, MATCH(1, (Rankings!$D1076:$D1082=$A1076)*(Rankings!$U1076:$U1082=TRUE()), 0))</f>
        <v>Parker</v>
      </c>
      <c r="D1076" s="551">
        <f>A1076</f>
        <v>46269</v>
      </c>
      <c r="E1076" s="581" t="str">
        <f>$K$1</f>
        <v>Logan</v>
      </c>
      <c r="F1076" s="400">
        <f>IFERROR(AVERAGE(Rankings!$K1076:$R1076), "TBD")</f>
        <v>3.6</v>
      </c>
      <c r="G1076" s="400">
        <f>IFERROR(_xlfn.STDEV.P(Rankings!$K1076:$R1076), "TBD")</f>
        <v>1.496662955</v>
      </c>
      <c r="H1076" s="400">
        <f>IFERROR(AVERAGE(Rankings!$L1076:$R1076), "TBD")</f>
        <v>3.75</v>
      </c>
      <c r="I1076" s="421" t="s">
        <v>2341</v>
      </c>
      <c r="J1076" s="421" t="s">
        <v>148</v>
      </c>
      <c r="K1076" s="422">
        <v>3.0</v>
      </c>
      <c r="L1076" s="423">
        <v>4.0</v>
      </c>
      <c r="M1076" s="423">
        <v>1.0</v>
      </c>
      <c r="N1076" s="555"/>
      <c r="O1076" s="423">
        <v>5.0</v>
      </c>
      <c r="P1076" s="423">
        <v>5.0</v>
      </c>
      <c r="Q1076" s="456"/>
      <c r="R1076" s="457"/>
      <c r="S1076" s="458">
        <f>IF(ISTEXT($V1076), "TBD", RANK(V1076,$V1076:$V1082))</f>
        <v>4</v>
      </c>
      <c r="T1076" s="576">
        <v>1.0</v>
      </c>
      <c r="U1076" s="460" t="b">
        <f>Rankings!$S1076=Rankings!$T1076</f>
        <v>0</v>
      </c>
      <c r="V1076" s="553">
        <f>IF(ISTEXT(Rankings!F1076), "TBD", (RANK($F1076,$F1076:$F1082) + IF(ISTEXT($H1076), 0, (RANK($H1076,$H1076:$H1082)/10)) + (RANK($G1076,$G1076:$G1082)/100)))</f>
        <v>1.22</v>
      </c>
      <c r="W1076" s="329" t="s">
        <v>2342</v>
      </c>
      <c r="Y1076" s="443"/>
    </row>
    <row r="1077" ht="15.75" customHeight="1">
      <c r="A1077" s="134"/>
      <c r="B1077" s="134"/>
      <c r="C1077" s="134"/>
      <c r="D1077" s="554">
        <f>D1076</f>
        <v>46269</v>
      </c>
      <c r="E1077" s="582" t="str">
        <f>$L$1</f>
        <v>Parker</v>
      </c>
      <c r="F1077" s="404">
        <f>IFERROR(AVERAGE(Rankings!$K1077:$R1077), "TBD")</f>
        <v>2.2</v>
      </c>
      <c r="G1077" s="404">
        <f>IFERROR(_xlfn.STDEV.P(Rankings!$K1077:$R1077), "TBD")</f>
        <v>1.469693846</v>
      </c>
      <c r="H1077" s="404">
        <f>IFERROR(AVERAGE(Rankings!$K1077, Rankings!$M1077:$R1077), "TBD")</f>
        <v>2.5</v>
      </c>
      <c r="I1077" s="429" t="s">
        <v>2343</v>
      </c>
      <c r="J1077" s="429" t="s">
        <v>2344</v>
      </c>
      <c r="K1077" s="430">
        <v>4.0</v>
      </c>
      <c r="L1077" s="431">
        <v>1.0</v>
      </c>
      <c r="M1077" s="431">
        <v>4.0</v>
      </c>
      <c r="N1077" s="555"/>
      <c r="O1077" s="431">
        <v>1.0</v>
      </c>
      <c r="P1077" s="431">
        <v>1.0</v>
      </c>
      <c r="Q1077" s="464"/>
      <c r="R1077" s="465"/>
      <c r="S1077" s="466">
        <f>IF(ISTEXT($V1077), "TBD", RANK(V1077,$V1076:$V1082))</f>
        <v>1</v>
      </c>
      <c r="T1077" s="444">
        <v>1.0</v>
      </c>
      <c r="U1077" s="468" t="b">
        <f>Rankings!$S1077=Rankings!$T1077</f>
        <v>1</v>
      </c>
      <c r="V1077" s="553">
        <f>IF(ISTEXT(Rankings!F1077), "TBD", (RANK($F1077,$F1076:$F1082) + IF(ISTEXT($H1077), 0, (RANK($H1077,$H1076:$H1082)/10)) + (RANK($G1077,$G1076:$G1082)/100)))</f>
        <v>5.43</v>
      </c>
      <c r="W1077" s="153"/>
      <c r="Y1077" s="443"/>
    </row>
    <row r="1078" ht="15.75" customHeight="1">
      <c r="A1078" s="134"/>
      <c r="B1078" s="134"/>
      <c r="C1078" s="134"/>
      <c r="D1078" s="556">
        <f>D1076</f>
        <v>46269</v>
      </c>
      <c r="E1078" s="583" t="str">
        <f>$M$1</f>
        <v>Giacomo</v>
      </c>
      <c r="F1078" s="408">
        <f>IFERROR(AVERAGE(Rankings!$K1078:$R1078), "TBD")</f>
        <v>3.6</v>
      </c>
      <c r="G1078" s="408">
        <f>IFERROR(_xlfn.STDEV.P(Rankings!$K1078:$R1078), "TBD")</f>
        <v>1.019803903</v>
      </c>
      <c r="H1078" s="408">
        <f>IFERROR(AVERAGE(Rankings!$K1078:$L1078, Rankings!$N1078:$R1078), "TBD")</f>
        <v>4</v>
      </c>
      <c r="I1078" s="437" t="s">
        <v>2345</v>
      </c>
      <c r="J1078" s="437" t="s">
        <v>2346</v>
      </c>
      <c r="K1078" s="430">
        <v>5.0</v>
      </c>
      <c r="L1078" s="431">
        <v>3.0</v>
      </c>
      <c r="M1078" s="431">
        <v>2.0</v>
      </c>
      <c r="N1078" s="555"/>
      <c r="O1078" s="431">
        <v>4.0</v>
      </c>
      <c r="P1078" s="431">
        <v>4.0</v>
      </c>
      <c r="Q1078" s="464"/>
      <c r="R1078" s="465"/>
      <c r="S1078" s="466">
        <f>IF(ISTEXT($V1078), "TBD", RANK(V1078,$V1076:$V1082))</f>
        <v>5</v>
      </c>
      <c r="T1078" s="467">
        <v>1.0</v>
      </c>
      <c r="U1078" s="468" t="b">
        <f>Rankings!$S1078=Rankings!$T1078</f>
        <v>0</v>
      </c>
      <c r="V1078" s="553">
        <f>IF(ISTEXT(Rankings!F1078), "TBD", (RANK($F1078,$F1076:$F1082) + IF(ISTEXT($H1078), 0, (RANK($H1078,$H1076:$H1082)/10)) + (RANK($G1078,$G1076:$G1082)/100)))</f>
        <v>1.14</v>
      </c>
      <c r="W1078" s="153"/>
      <c r="Y1078" s="443"/>
    </row>
    <row r="1079" ht="15.75" customHeight="1">
      <c r="A1079" s="134"/>
      <c r="B1079" s="134"/>
      <c r="C1079" s="134"/>
      <c r="D1079" s="557">
        <f>D1076</f>
        <v>46269</v>
      </c>
      <c r="E1079" s="584" t="str">
        <f>$N$1</f>
        <v>Rosey</v>
      </c>
      <c r="F1079" s="411" t="str">
        <f>IFERROR(AVERAGE(Rankings!$K1079:$R1079), "TBD")</f>
        <v>TBD</v>
      </c>
      <c r="G1079" s="411" t="str">
        <f>IFERROR(_xlfn.STDEV.P(Rankings!$K1079:$R1079), "TBD")</f>
        <v>TBD</v>
      </c>
      <c r="H1079" s="411" t="str">
        <f>IFERROR(AVERAGE(Rankings!$K1079:$M1079, Rankings!$O1079:$R1079), "TBD")</f>
        <v>TBD</v>
      </c>
      <c r="I1079" s="438"/>
      <c r="J1079" s="438"/>
      <c r="K1079" s="430"/>
      <c r="L1079" s="566"/>
      <c r="M1079" s="431" t="s">
        <v>2347</v>
      </c>
      <c r="N1079" s="555"/>
      <c r="O1079" s="431" t="s">
        <v>1697</v>
      </c>
      <c r="P1079" s="431" t="s">
        <v>1698</v>
      </c>
      <c r="Q1079" s="464" t="s">
        <v>1766</v>
      </c>
      <c r="R1079" s="465"/>
      <c r="S1079" s="466" t="str">
        <f>IF(ISTEXT($V1079), "TBD", RANK(V1079,$V1076:$V1082))</f>
        <v>TBD</v>
      </c>
      <c r="T1079" s="467">
        <v>1.0</v>
      </c>
      <c r="U1079" s="468" t="b">
        <f>Rankings!$S1079=Rankings!$T1079</f>
        <v>0</v>
      </c>
      <c r="V1079" s="553" t="str">
        <f>IF(ISTEXT(Rankings!F1079), "TBD", (RANK($F1079,$F1076:$F1082) + IF(ISTEXT($H1079), 0, (RANK($H1079,$H1076:$H1082)/10)) + (RANK($G1079,$G1076:$G1082)/100)))</f>
        <v>TBD</v>
      </c>
      <c r="W1079" s="153"/>
      <c r="Y1079" s="443"/>
    </row>
    <row r="1080" ht="15.75" customHeight="1">
      <c r="A1080" s="134"/>
      <c r="B1080" s="134"/>
      <c r="C1080" s="134"/>
      <c r="D1080" s="561">
        <f t="shared" ref="D1080:D1082" si="156">D1076</f>
        <v>46269</v>
      </c>
      <c r="E1080" s="585" t="str">
        <f>$O$1</f>
        <v>TTAC</v>
      </c>
      <c r="F1080" s="414">
        <f>IFERROR(AVERAGE(Rankings!$K1080:$R1080), "TBD")</f>
        <v>2.4</v>
      </c>
      <c r="G1080" s="414">
        <f>IFERROR(_xlfn.STDEV.P(Rankings!$K1080:$R1080), "TBD")</f>
        <v>0.4898979486</v>
      </c>
      <c r="H1080" s="414">
        <f>IFERROR(AVERAGE(Rankings!$K1080:$N1080, Rankings!$P1080:$R1080), "TBD")</f>
        <v>2.5</v>
      </c>
      <c r="I1080" s="439" t="s">
        <v>2348</v>
      </c>
      <c r="J1080" s="439" t="s">
        <v>2349</v>
      </c>
      <c r="K1080" s="430">
        <v>2.0</v>
      </c>
      <c r="L1080" s="431">
        <v>2.0</v>
      </c>
      <c r="M1080" s="431">
        <v>3.0</v>
      </c>
      <c r="N1080" s="555"/>
      <c r="O1080" s="431">
        <v>2.0</v>
      </c>
      <c r="P1080" s="431">
        <v>3.0</v>
      </c>
      <c r="Q1080" s="464"/>
      <c r="R1080" s="465"/>
      <c r="S1080" s="466">
        <f>IF(ISTEXT($V1080), "TBD", RANK(V1080,$V1076:$V1082))</f>
        <v>2</v>
      </c>
      <c r="T1080" s="467">
        <v>1.0</v>
      </c>
      <c r="U1080" s="468" t="b">
        <f>Rankings!$S1080=Rankings!$T1080</f>
        <v>0</v>
      </c>
      <c r="V1080" s="553">
        <f>IF(ISTEXT(Rankings!F1080), "TBD", (RANK($F1080,$F1076:$F1082) + IF(ISTEXT($H1080), 0, (RANK($H1080,$H1076:$H1082)/10)) + (RANK($G1080,$G1076:$G1082)/100)))</f>
        <v>4.45</v>
      </c>
      <c r="W1080" s="153"/>
      <c r="Y1080" s="443"/>
    </row>
    <row r="1081" ht="15.75" customHeight="1">
      <c r="A1081" s="134"/>
      <c r="B1081" s="134"/>
      <c r="C1081" s="134"/>
      <c r="D1081" s="562">
        <f t="shared" si="156"/>
        <v>46269</v>
      </c>
      <c r="E1081" s="586" t="str">
        <f>$P$1</f>
        <v>Weston</v>
      </c>
      <c r="F1081" s="418">
        <f>IFERROR(AVERAGE(Rankings!$K1081:$R1081), "TBD")</f>
        <v>3.2</v>
      </c>
      <c r="G1081" s="418">
        <f>IFERROR(_xlfn.STDEV.P(Rankings!$K1081:$R1081), "TBD")</f>
        <v>1.6</v>
      </c>
      <c r="H1081" s="418">
        <f>IFERROR(AVERAGE(Rankings!$K1081:$O1081, Rankings!$Q1081:$R1081), "TBD")</f>
        <v>3.5</v>
      </c>
      <c r="I1081" s="440" t="s">
        <v>2350</v>
      </c>
      <c r="J1081" s="440" t="s">
        <v>2351</v>
      </c>
      <c r="K1081" s="430">
        <v>1.0</v>
      </c>
      <c r="L1081" s="431">
        <v>5.0</v>
      </c>
      <c r="M1081" s="431">
        <v>5.0</v>
      </c>
      <c r="N1081" s="555"/>
      <c r="O1081" s="431">
        <v>3.0</v>
      </c>
      <c r="P1081" s="431">
        <v>2.0</v>
      </c>
      <c r="Q1081" s="464"/>
      <c r="R1081" s="465"/>
      <c r="S1081" s="466">
        <f>IF(ISTEXT($V1081), "TBD", RANK(V1081,$V1076:$V1082))</f>
        <v>3</v>
      </c>
      <c r="T1081" s="467">
        <v>1.0</v>
      </c>
      <c r="U1081" s="468" t="b">
        <f>Rankings!$S1081=Rankings!$T1081</f>
        <v>0</v>
      </c>
      <c r="V1081" s="553">
        <f>IF(ISTEXT(Rankings!F1081), "TBD", (RANK($F1081,$F1076:$F1082) + IF(ISTEXT($H1081), 0, (RANK($H1081,$H1076:$H1082)/10)) + (RANK($G1081,$G1076:$G1082)/100)))</f>
        <v>3.31</v>
      </c>
      <c r="W1081" s="153"/>
      <c r="Y1081" s="443"/>
    </row>
    <row r="1082" ht="15.75" customHeight="1">
      <c r="A1082" s="189"/>
      <c r="B1082" s="189"/>
      <c r="C1082" s="189"/>
      <c r="D1082" s="563">
        <f t="shared" si="156"/>
        <v>46269</v>
      </c>
      <c r="E1082" s="587" t="str">
        <f>$Q$1</f>
        <v>Flocco</v>
      </c>
      <c r="F1082" s="474" t="str">
        <f>IFERROR(AVERAGE(Rankings!$K1082:$R1082), "TBD")</f>
        <v>TBD</v>
      </c>
      <c r="G1082" s="474" t="str">
        <f>IFERROR(_xlfn.STDEV.P(Rankings!$K1082:$R1082), "TBD")</f>
        <v>TBD</v>
      </c>
      <c r="H1082" s="474" t="str">
        <f>IFERROR(AVERAGE(Rankings!$K1082:$P1082, Rankings!$R1082), "TBD")</f>
        <v>TBD</v>
      </c>
      <c r="I1082" s="475"/>
      <c r="J1082" s="475"/>
      <c r="K1082" s="430"/>
      <c r="L1082" s="431"/>
      <c r="M1082" s="431" t="s">
        <v>2352</v>
      </c>
      <c r="N1082" s="555"/>
      <c r="O1082" s="431"/>
      <c r="P1082" s="431" t="s">
        <v>1698</v>
      </c>
      <c r="Q1082" s="464"/>
      <c r="R1082" s="465"/>
      <c r="S1082" s="466" t="str">
        <f>IF(ISTEXT($V1082), "TBD", RANK(V1082,$V1076:$V1082))</f>
        <v>TBD</v>
      </c>
      <c r="T1082" s="467">
        <v>1.0</v>
      </c>
      <c r="U1082" s="468" t="b">
        <f>Rankings!$S1082=Rankings!$T1082</f>
        <v>0</v>
      </c>
      <c r="V1082" s="553" t="str">
        <f>IF(ISTEXT(Rankings!F1082), "TBD", (RANK($F1082,$F1076:$F1082) + IF(ISTEXT($H1082), 0, (RANK($H1082,$H1076:$H1082)/10)) + (RANK($G1082,$G1076:$G1082)/100)))</f>
        <v>TBD</v>
      </c>
      <c r="W1082" s="208"/>
      <c r="Y1082" s="443"/>
    </row>
    <row r="1083" ht="15.75" customHeight="1">
      <c r="A1083" s="103">
        <v>46272.0</v>
      </c>
      <c r="B1083" s="453"/>
      <c r="C1083" s="454" t="str">
        <f t="array" ref="C1083">INDEX(Rankings!$E1083:$E1089, MATCH(1, (Rankings!$D1083:$D1089=$A1083)*(Rankings!$U1083:$U1089=TRUE()), 0))</f>
        <v>TTAC</v>
      </c>
      <c r="D1083" s="551">
        <f>A1083</f>
        <v>46272</v>
      </c>
      <c r="E1083" s="455" t="str">
        <f>$K$1</f>
        <v>Logan</v>
      </c>
      <c r="F1083" s="400">
        <f>IFERROR(AVERAGE(Rankings!$K1083:$R1083), "TBD")</f>
        <v>3.6</v>
      </c>
      <c r="G1083" s="400">
        <f>IFERROR(_xlfn.STDEV.P(Rankings!$K1083:$R1083), "TBD")</f>
        <v>1.496662955</v>
      </c>
      <c r="H1083" s="400">
        <f>IFERROR(AVERAGE(Rankings!$L1083:$R1083), "TBD")</f>
        <v>4.25</v>
      </c>
      <c r="I1083" s="421" t="s">
        <v>2353</v>
      </c>
      <c r="J1083" s="421" t="s">
        <v>2354</v>
      </c>
      <c r="K1083" s="422">
        <v>1.0</v>
      </c>
      <c r="L1083" s="423">
        <v>4.0</v>
      </c>
      <c r="M1083" s="423">
        <v>5.0</v>
      </c>
      <c r="N1083" s="555"/>
      <c r="O1083" s="423">
        <v>3.0</v>
      </c>
      <c r="P1083" s="423">
        <v>5.0</v>
      </c>
      <c r="Q1083" s="456"/>
      <c r="R1083" s="457"/>
      <c r="S1083" s="458">
        <f>IF(ISTEXT($V1083), "TBD", RANK(V1083,$V1083:$V1089))</f>
        <v>5</v>
      </c>
      <c r="T1083" s="576">
        <v>1.0</v>
      </c>
      <c r="U1083" s="460" t="b">
        <f>Rankings!$S1083=Rankings!$T1083</f>
        <v>0</v>
      </c>
      <c r="V1083" s="553">
        <f>IF(ISTEXT(Rankings!F1083), "TBD", (RANK($F1083,$F1083:$F1089) + IF(ISTEXT($H1083), 0, (RANK($H1083,$H1083:$H1089)/10)) + (RANK($G1083,$G1083:$G1089)/100)))</f>
        <v>1.12</v>
      </c>
      <c r="W1083" s="329"/>
      <c r="Y1083" s="443"/>
    </row>
    <row r="1084" ht="15.75" customHeight="1">
      <c r="A1084" s="134"/>
      <c r="B1084" s="134"/>
      <c r="C1084" s="134"/>
      <c r="D1084" s="554">
        <f>D1083</f>
        <v>46272</v>
      </c>
      <c r="E1084" s="463" t="str">
        <f>$L$1</f>
        <v>Parker</v>
      </c>
      <c r="F1084" s="404">
        <f>IFERROR(AVERAGE(Rankings!$K1084:$R1084), "TBD")</f>
        <v>3</v>
      </c>
      <c r="G1084" s="404">
        <f>IFERROR(_xlfn.STDEV.P(Rankings!$K1084:$R1084), "TBD")</f>
        <v>1.788854382</v>
      </c>
      <c r="H1084" s="404">
        <f>IFERROR(AVERAGE(Rankings!$K1084, Rankings!$M1084:$R1084), "TBD")</f>
        <v>3.5</v>
      </c>
      <c r="I1084" s="429" t="s">
        <v>2355</v>
      </c>
      <c r="J1084" s="429" t="s">
        <v>980</v>
      </c>
      <c r="K1084" s="430">
        <v>5.0</v>
      </c>
      <c r="L1084" s="431">
        <v>1.0</v>
      </c>
      <c r="M1084" s="431">
        <v>1.0</v>
      </c>
      <c r="N1084" s="555"/>
      <c r="O1084" s="431">
        <v>5.0</v>
      </c>
      <c r="P1084" s="431">
        <v>3.0</v>
      </c>
      <c r="Q1084" s="464"/>
      <c r="R1084" s="465"/>
      <c r="S1084" s="466">
        <f>IF(ISTEXT($V1084), "TBD", RANK(V1084,$V1083:$V1089))</f>
        <v>3</v>
      </c>
      <c r="T1084" s="444">
        <v>1.0</v>
      </c>
      <c r="U1084" s="468" t="b">
        <f>Rankings!$S1084=Rankings!$T1084</f>
        <v>0</v>
      </c>
      <c r="V1084" s="553">
        <f>IF(ISTEXT(Rankings!F1084), "TBD", (RANK($F1084,$F1083:$F1089) + IF(ISTEXT($H1084), 0, (RANK($H1084,$H1083:$H1089)/10)) + (RANK($G1084,$G1083:$G1089)/100)))</f>
        <v>3.21</v>
      </c>
      <c r="W1084" s="153"/>
      <c r="Y1084" s="443"/>
    </row>
    <row r="1085" ht="15.75" customHeight="1">
      <c r="A1085" s="134"/>
      <c r="B1085" s="134"/>
      <c r="C1085" s="134"/>
      <c r="D1085" s="556">
        <f>D1083</f>
        <v>46272</v>
      </c>
      <c r="E1085" s="469" t="str">
        <f>$M$1</f>
        <v>Giacomo</v>
      </c>
      <c r="F1085" s="408">
        <f>IFERROR(AVERAGE(Rankings!$K1085:$R1085), "TBD")</f>
        <v>3.2</v>
      </c>
      <c r="G1085" s="408">
        <f>IFERROR(_xlfn.STDEV.P(Rankings!$K1085:$R1085), "TBD")</f>
        <v>0.9797958971</v>
      </c>
      <c r="H1085" s="408">
        <f>IFERROR(AVERAGE(Rankings!$K1085:$L1085, Rankings!$N1085:$R1085), "TBD")</f>
        <v>3.5</v>
      </c>
      <c r="I1085" s="437" t="s">
        <v>2356</v>
      </c>
      <c r="J1085" s="437" t="s">
        <v>2357</v>
      </c>
      <c r="K1085" s="430">
        <v>4.0</v>
      </c>
      <c r="L1085" s="431">
        <v>2.0</v>
      </c>
      <c r="M1085" s="431">
        <v>2.0</v>
      </c>
      <c r="N1085" s="555"/>
      <c r="O1085" s="431">
        <v>4.0</v>
      </c>
      <c r="P1085" s="431">
        <v>4.0</v>
      </c>
      <c r="Q1085" s="464"/>
      <c r="R1085" s="465"/>
      <c r="S1085" s="466">
        <f>IF(ISTEXT($V1085), "TBD", RANK(V1085,$V1083:$V1089))</f>
        <v>4</v>
      </c>
      <c r="T1085" s="467">
        <v>1.0</v>
      </c>
      <c r="U1085" s="468" t="b">
        <f>Rankings!$S1085=Rankings!$T1085</f>
        <v>0</v>
      </c>
      <c r="V1085" s="553">
        <f>IF(ISTEXT(Rankings!F1085), "TBD", (RANK($F1085,$F1083:$F1089) + IF(ISTEXT($H1085), 0, (RANK($H1085,$H1083:$H1089)/10)) + (RANK($G1085,$G1083:$G1089)/100)))</f>
        <v>2.25</v>
      </c>
      <c r="W1085" s="153"/>
      <c r="Y1085" s="443"/>
    </row>
    <row r="1086" ht="15.75" customHeight="1">
      <c r="A1086" s="134"/>
      <c r="B1086" s="134"/>
      <c r="C1086" s="134"/>
      <c r="D1086" s="557">
        <f>D1083</f>
        <v>46272</v>
      </c>
      <c r="E1086" s="470" t="str">
        <f>$N$1</f>
        <v>Rosey</v>
      </c>
      <c r="F1086" s="411" t="str">
        <f>IFERROR(AVERAGE(Rankings!$K1086:$R1086), "TBD")</f>
        <v>TBD</v>
      </c>
      <c r="G1086" s="411" t="str">
        <f>IFERROR(_xlfn.STDEV.P(Rankings!$K1086:$R1086), "TBD")</f>
        <v>TBD</v>
      </c>
      <c r="H1086" s="411" t="str">
        <f>IFERROR(AVERAGE(Rankings!$K1086:$M1086, Rankings!$O1086:$R1086), "TBD")</f>
        <v>TBD</v>
      </c>
      <c r="I1086" s="438"/>
      <c r="J1086" s="438"/>
      <c r="K1086" s="430"/>
      <c r="L1086" s="566"/>
      <c r="M1086" s="431" t="s">
        <v>2358</v>
      </c>
      <c r="N1086" s="555"/>
      <c r="O1086" s="431" t="s">
        <v>1697</v>
      </c>
      <c r="P1086" s="431" t="s">
        <v>1698</v>
      </c>
      <c r="Q1086" s="464" t="s">
        <v>1766</v>
      </c>
      <c r="R1086" s="465"/>
      <c r="S1086" s="466" t="str">
        <f>IF(ISTEXT($V1086), "TBD", RANK(V1086,$V1083:$V1089))</f>
        <v>TBD</v>
      </c>
      <c r="T1086" s="467">
        <v>1.0</v>
      </c>
      <c r="U1086" s="468" t="b">
        <f>Rankings!$S1086=Rankings!$T1086</f>
        <v>0</v>
      </c>
      <c r="V1086" s="553" t="str">
        <f>IF(ISTEXT(Rankings!F1086), "TBD", (RANK($F1086,$F1083:$F1089) + IF(ISTEXT($H1086), 0, (RANK($H1086,$H1083:$H1089)/10)) + (RANK($G1086,$G1083:$G1089)/100)))</f>
        <v>TBD</v>
      </c>
      <c r="W1086" s="153"/>
      <c r="Y1086" s="443"/>
    </row>
    <row r="1087" ht="15.75" customHeight="1">
      <c r="A1087" s="134"/>
      <c r="B1087" s="134"/>
      <c r="C1087" s="134"/>
      <c r="D1087" s="561">
        <f t="shared" ref="D1087:D1089" si="157">D1083</f>
        <v>46272</v>
      </c>
      <c r="E1087" s="471" t="str">
        <f>$O$1</f>
        <v>TTAC</v>
      </c>
      <c r="F1087" s="414">
        <f>IFERROR(AVERAGE(Rankings!$K1087:$R1087), "TBD")</f>
        <v>2.2</v>
      </c>
      <c r="G1087" s="414">
        <f>IFERROR(_xlfn.STDEV.P(Rankings!$K1087:$R1087), "TBD")</f>
        <v>0.9797958971</v>
      </c>
      <c r="H1087" s="414">
        <f>IFERROR(AVERAGE(Rankings!$K1087:$N1087, Rankings!$P1087:$R1087), "TBD")</f>
        <v>2.5</v>
      </c>
      <c r="I1087" s="439" t="s">
        <v>2359</v>
      </c>
      <c r="J1087" s="439" t="s">
        <v>2360</v>
      </c>
      <c r="K1087" s="430">
        <v>3.0</v>
      </c>
      <c r="L1087" s="431">
        <v>3.0</v>
      </c>
      <c r="M1087" s="431">
        <v>3.0</v>
      </c>
      <c r="N1087" s="555"/>
      <c r="O1087" s="431">
        <v>1.0</v>
      </c>
      <c r="P1087" s="431">
        <v>1.0</v>
      </c>
      <c r="Q1087" s="464"/>
      <c r="R1087" s="465"/>
      <c r="S1087" s="466">
        <f>IF(ISTEXT($V1087), "TBD", RANK(V1087,$V1083:$V1089))</f>
        <v>1</v>
      </c>
      <c r="T1087" s="467">
        <v>1.0</v>
      </c>
      <c r="U1087" s="468" t="b">
        <f>Rankings!$S1087=Rankings!$T1087</f>
        <v>1</v>
      </c>
      <c r="V1087" s="553">
        <f>IF(ISTEXT(Rankings!F1087), "TBD", (RANK($F1087,$F1083:$F1089) + IF(ISTEXT($H1087), 0, (RANK($H1087,$H1083:$H1089)/10)) + (RANK($G1087,$G1083:$G1089)/100)))</f>
        <v>5.54</v>
      </c>
      <c r="W1087" s="153"/>
      <c r="Y1087" s="443"/>
    </row>
    <row r="1088" ht="15.75" customHeight="1">
      <c r="A1088" s="134"/>
      <c r="B1088" s="134"/>
      <c r="C1088" s="134"/>
      <c r="D1088" s="562">
        <f t="shared" si="157"/>
        <v>46272</v>
      </c>
      <c r="E1088" s="472" t="str">
        <f>$P$1</f>
        <v>Weston</v>
      </c>
      <c r="F1088" s="418">
        <f>IFERROR(AVERAGE(Rankings!$K1088:$R1088), "TBD")</f>
        <v>3</v>
      </c>
      <c r="G1088" s="418">
        <f>IFERROR(_xlfn.STDEV.P(Rankings!$K1088:$R1088), "TBD")</f>
        <v>1.264911064</v>
      </c>
      <c r="H1088" s="418">
        <f>IFERROR(AVERAGE(Rankings!$K1088:$O1088, Rankings!$Q1088:$R1088), "TBD")</f>
        <v>3.25</v>
      </c>
      <c r="I1088" s="440" t="s">
        <v>2361</v>
      </c>
      <c r="J1088" s="440" t="s">
        <v>2116</v>
      </c>
      <c r="K1088" s="430">
        <v>2.0</v>
      </c>
      <c r="L1088" s="431">
        <v>5.0</v>
      </c>
      <c r="M1088" s="431">
        <v>4.0</v>
      </c>
      <c r="N1088" s="555"/>
      <c r="O1088" s="431">
        <v>2.0</v>
      </c>
      <c r="P1088" s="431">
        <v>2.0</v>
      </c>
      <c r="Q1088" s="464"/>
      <c r="R1088" s="465"/>
      <c r="S1088" s="466">
        <f>IF(ISTEXT($V1088), "TBD", RANK(V1088,$V1083:$V1089))</f>
        <v>2</v>
      </c>
      <c r="T1088" s="467">
        <v>1.0</v>
      </c>
      <c r="U1088" s="468" t="b">
        <f>Rankings!$S1088=Rankings!$T1088</f>
        <v>0</v>
      </c>
      <c r="V1088" s="553">
        <f>IF(ISTEXT(Rankings!F1088), "TBD", (RANK($F1088,$F1083:$F1089) + IF(ISTEXT($H1088), 0, (RANK($H1088,$H1083:$H1089)/10)) + (RANK($G1088,$G1083:$G1089)/100)))</f>
        <v>3.43</v>
      </c>
      <c r="W1088" s="153"/>
      <c r="Y1088" s="443"/>
    </row>
    <row r="1089" ht="15.75" customHeight="1">
      <c r="A1089" s="189"/>
      <c r="B1089" s="189"/>
      <c r="C1089" s="189"/>
      <c r="D1089" s="563">
        <f t="shared" si="157"/>
        <v>46272</v>
      </c>
      <c r="E1089" s="230" t="str">
        <f>$Q$1</f>
        <v>Flocco</v>
      </c>
      <c r="F1089" s="474" t="str">
        <f>IFERROR(AVERAGE(Rankings!$K1089:$R1089), "TBD")</f>
        <v>TBD</v>
      </c>
      <c r="G1089" s="474" t="str">
        <f>IFERROR(_xlfn.STDEV.P(Rankings!$K1089:$R1089), "TBD")</f>
        <v>TBD</v>
      </c>
      <c r="H1089" s="474" t="str">
        <f>IFERROR(AVERAGE(Rankings!$K1089:$P1089, Rankings!$R1089), "TBD")</f>
        <v>TBD</v>
      </c>
      <c r="I1089" s="475"/>
      <c r="J1089" s="475"/>
      <c r="K1089" s="430"/>
      <c r="L1089" s="431"/>
      <c r="M1089" s="431" t="s">
        <v>2362</v>
      </c>
      <c r="N1089" s="555"/>
      <c r="O1089" s="431"/>
      <c r="P1089" s="431" t="s">
        <v>1698</v>
      </c>
      <c r="Q1089" s="464"/>
      <c r="R1089" s="465"/>
      <c r="S1089" s="466" t="str">
        <f>IF(ISTEXT($V1089), "TBD", RANK(V1089,$V1083:$V1089))</f>
        <v>TBD</v>
      </c>
      <c r="T1089" s="467">
        <v>1.0</v>
      </c>
      <c r="U1089" s="468" t="b">
        <f>Rankings!$S1089=Rankings!$T1089</f>
        <v>0</v>
      </c>
      <c r="V1089" s="553" t="str">
        <f>IF(ISTEXT(Rankings!F1089), "TBD", (RANK($F1089,$F1083:$F1089) + IF(ISTEXT($H1089), 0, (RANK($H1089,$H1083:$H1089)/10)) + (RANK($G1089,$G1083:$G1089)/100)))</f>
        <v>TBD</v>
      </c>
      <c r="W1089" s="208"/>
      <c r="Y1089" s="443"/>
    </row>
    <row r="1090" ht="15.75" customHeight="1">
      <c r="A1090" s="103">
        <v>46274.0</v>
      </c>
      <c r="B1090" s="453"/>
      <c r="C1090" s="454" t="str">
        <f t="array" ref="C1090">INDEX(Rankings!$E1090:$E1096, MATCH(1, (Rankings!$D1090:$D1096=$A1090)*(Rankings!$U1090:$U1096=TRUE()), 0))</f>
        <v>Logan</v>
      </c>
      <c r="D1090" s="551">
        <f>A1090</f>
        <v>46274</v>
      </c>
      <c r="E1090" s="455" t="str">
        <f>$K$1</f>
        <v>Logan</v>
      </c>
      <c r="F1090" s="400">
        <f>IFERROR(AVERAGE(Rankings!$K1090:$R1090), "TBD")</f>
        <v>1.6</v>
      </c>
      <c r="G1090" s="400">
        <f>IFERROR(_xlfn.STDEV.P(Rankings!$K1090:$R1090), "TBD")</f>
        <v>0.4898979486</v>
      </c>
      <c r="H1090" s="400">
        <f>IFERROR(AVERAGE(Rankings!$L1090:$R1090), "TBD")</f>
        <v>1.75</v>
      </c>
      <c r="I1090" s="421" t="s">
        <v>2363</v>
      </c>
      <c r="J1090" s="421" t="s">
        <v>1727</v>
      </c>
      <c r="K1090" s="422">
        <v>1.0</v>
      </c>
      <c r="L1090" s="423">
        <v>1.0</v>
      </c>
      <c r="M1090" s="423">
        <v>2.0</v>
      </c>
      <c r="N1090" s="555"/>
      <c r="O1090" s="423">
        <v>2.0</v>
      </c>
      <c r="P1090" s="423">
        <v>2.0</v>
      </c>
      <c r="Q1090" s="456"/>
      <c r="R1090" s="457"/>
      <c r="S1090" s="458">
        <f>IF(ISTEXT($V1090), "TBD", RANK(V1090,$V1090:$V1096))</f>
        <v>1</v>
      </c>
      <c r="T1090" s="576">
        <v>1.0</v>
      </c>
      <c r="U1090" s="460" t="b">
        <f>Rankings!$S1090=Rankings!$T1090</f>
        <v>1</v>
      </c>
      <c r="V1090" s="553">
        <f>IF(ISTEXT(Rankings!F1090), "TBD", (RANK($F1090,$F1090:$F1096) + IF(ISTEXT($H1090), 0, (RANK($H1090,$H1090:$H1096)/10)) + (RANK($G1090,$G1090:$G1096)/100)))</f>
        <v>5.55</v>
      </c>
      <c r="W1090" s="329"/>
      <c r="Y1090" s="443"/>
    </row>
    <row r="1091" ht="15.75" customHeight="1">
      <c r="A1091" s="134"/>
      <c r="B1091" s="134"/>
      <c r="C1091" s="134"/>
      <c r="D1091" s="554">
        <f>D1090</f>
        <v>46274</v>
      </c>
      <c r="E1091" s="463" t="str">
        <f>$L$1</f>
        <v>Parker</v>
      </c>
      <c r="F1091" s="404">
        <f>IFERROR(AVERAGE(Rankings!$K1091:$R1091), "TBD")</f>
        <v>2.6</v>
      </c>
      <c r="G1091" s="404">
        <f>IFERROR(_xlfn.STDEV.P(Rankings!$K1091:$R1091), "TBD")</f>
        <v>1.019803903</v>
      </c>
      <c r="H1091" s="404">
        <f>IFERROR(AVERAGE(Rankings!$K1091, Rankings!$M1091:$R1091), "TBD")</f>
        <v>2.75</v>
      </c>
      <c r="I1091" s="429" t="s">
        <v>2364</v>
      </c>
      <c r="J1091" s="429" t="s">
        <v>2365</v>
      </c>
      <c r="K1091" s="430">
        <v>3.0</v>
      </c>
      <c r="L1091" s="431">
        <v>2.0</v>
      </c>
      <c r="M1091" s="431">
        <v>4.0</v>
      </c>
      <c r="N1091" s="555"/>
      <c r="O1091" s="431">
        <v>1.0</v>
      </c>
      <c r="P1091" s="431">
        <v>3.0</v>
      </c>
      <c r="Q1091" s="464"/>
      <c r="R1091" s="465"/>
      <c r="S1091" s="466">
        <f>IF(ISTEXT($V1091), "TBD", RANK(V1091,$V1090:$V1096))</f>
        <v>2</v>
      </c>
      <c r="T1091" s="444">
        <v>1.0</v>
      </c>
      <c r="U1091" s="468" t="b">
        <f>Rankings!$S1091=Rankings!$T1091</f>
        <v>0</v>
      </c>
      <c r="V1091" s="553">
        <f>IF(ISTEXT(Rankings!F1091), "TBD", (RANK($F1091,$F1090:$F1096) + IF(ISTEXT($H1091), 0, (RANK($H1091,$H1090:$H1096)/10)) + (RANK($G1091,$G1090:$G1096)/100)))</f>
        <v>3.42</v>
      </c>
      <c r="W1091" s="153"/>
      <c r="Y1091" s="443"/>
    </row>
    <row r="1092" ht="15.75" customHeight="1">
      <c r="A1092" s="134"/>
      <c r="B1092" s="134"/>
      <c r="C1092" s="134"/>
      <c r="D1092" s="556">
        <f>D1090</f>
        <v>46274</v>
      </c>
      <c r="E1092" s="469" t="str">
        <f>$M$1</f>
        <v>Giacomo</v>
      </c>
      <c r="F1092" s="408">
        <f>IFERROR(AVERAGE(Rankings!$K1092:$R1092), "TBD")</f>
        <v>3.8</v>
      </c>
      <c r="G1092" s="408">
        <f>IFERROR(_xlfn.STDEV.P(Rankings!$K1092:$R1092), "TBD")</f>
        <v>1.469693846</v>
      </c>
      <c r="H1092" s="408">
        <f>IFERROR(AVERAGE(Rankings!$K1092:$L1092, Rankings!$N1092:$R1092), "TBD")</f>
        <v>4.5</v>
      </c>
      <c r="I1092" s="437" t="s">
        <v>2366</v>
      </c>
      <c r="J1092" s="437" t="s">
        <v>2367</v>
      </c>
      <c r="K1092" s="430">
        <v>5.0</v>
      </c>
      <c r="L1092" s="431">
        <v>4.0</v>
      </c>
      <c r="M1092" s="431">
        <v>1.0</v>
      </c>
      <c r="N1092" s="555"/>
      <c r="O1092" s="431">
        <v>5.0</v>
      </c>
      <c r="P1092" s="431">
        <v>4.0</v>
      </c>
      <c r="Q1092" s="464"/>
      <c r="R1092" s="465"/>
      <c r="S1092" s="466">
        <f>IF(ISTEXT($V1092), "TBD", RANK(V1092,$V1090:$V1096))</f>
        <v>4</v>
      </c>
      <c r="T1092" s="467">
        <v>1.0</v>
      </c>
      <c r="U1092" s="468" t="b">
        <f>Rankings!$S1092=Rankings!$T1092</f>
        <v>0</v>
      </c>
      <c r="V1092" s="553">
        <f>IF(ISTEXT(Rankings!F1092), "TBD", (RANK($F1092,$F1090:$F1096) + IF(ISTEXT($H1092), 0, (RANK($H1092,$H1090:$H1096)/10)) + (RANK($G1092,$G1090:$G1096)/100)))</f>
        <v>2.21</v>
      </c>
      <c r="W1092" s="153"/>
      <c r="Y1092" s="443"/>
    </row>
    <row r="1093" ht="15.75" customHeight="1">
      <c r="A1093" s="134"/>
      <c r="B1093" s="134"/>
      <c r="C1093" s="134"/>
      <c r="D1093" s="557">
        <f>D1090</f>
        <v>46274</v>
      </c>
      <c r="E1093" s="470" t="str">
        <f>$N$1</f>
        <v>Rosey</v>
      </c>
      <c r="F1093" s="411" t="str">
        <f>IFERROR(AVERAGE(Rankings!$K1093:$R1093), "TBD")</f>
        <v>TBD</v>
      </c>
      <c r="G1093" s="411" t="str">
        <f>IFERROR(_xlfn.STDEV.P(Rankings!$K1093:$R1093), "TBD")</f>
        <v>TBD</v>
      </c>
      <c r="H1093" s="411" t="str">
        <f>IFERROR(AVERAGE(Rankings!$K1093:$M1093, Rankings!$O1093:$R1093), "TBD")</f>
        <v>TBD</v>
      </c>
      <c r="I1093" s="438"/>
      <c r="J1093" s="438"/>
      <c r="K1093" s="430"/>
      <c r="L1093" s="566"/>
      <c r="M1093" s="431" t="s">
        <v>2368</v>
      </c>
      <c r="N1093" s="555"/>
      <c r="O1093" s="431" t="s">
        <v>1697</v>
      </c>
      <c r="P1093" s="431" t="s">
        <v>1698</v>
      </c>
      <c r="Q1093" s="464" t="s">
        <v>1766</v>
      </c>
      <c r="R1093" s="465"/>
      <c r="S1093" s="466" t="str">
        <f>IF(ISTEXT($V1093), "TBD", RANK(V1093,$V1090:$V1096))</f>
        <v>TBD</v>
      </c>
      <c r="T1093" s="467">
        <v>1.0</v>
      </c>
      <c r="U1093" s="468" t="b">
        <f>Rankings!$S1093=Rankings!$T1093</f>
        <v>0</v>
      </c>
      <c r="V1093" s="553" t="str">
        <f>IF(ISTEXT(Rankings!F1093), "TBD", (RANK($F1093,$F1090:$F1096) + IF(ISTEXT($H1093), 0, (RANK($H1093,$H1090:$H1096)/10)) + (RANK($G1093,$G1090:$G1096)/100)))</f>
        <v>TBD</v>
      </c>
      <c r="W1093" s="153"/>
      <c r="Y1093" s="443"/>
    </row>
    <row r="1094" ht="15.75" customHeight="1">
      <c r="A1094" s="134"/>
      <c r="B1094" s="134"/>
      <c r="C1094" s="134"/>
      <c r="D1094" s="561">
        <f t="shared" ref="D1094:D1096" si="158">D1090</f>
        <v>46274</v>
      </c>
      <c r="E1094" s="471" t="str">
        <f>$O$1</f>
        <v>TTAC</v>
      </c>
      <c r="F1094" s="414">
        <f>IFERROR(AVERAGE(Rankings!$K1094:$R1094), "TBD")</f>
        <v>4.4</v>
      </c>
      <c r="G1094" s="414">
        <f>IFERROR(_xlfn.STDEV.P(Rankings!$K1094:$R1094), "TBD")</f>
        <v>0.8</v>
      </c>
      <c r="H1094" s="414">
        <f>IFERROR(AVERAGE(Rankings!$K1094:$N1094, Rankings!$P1094:$R1094), "TBD")</f>
        <v>4.75</v>
      </c>
      <c r="I1094" s="439" t="s">
        <v>2369</v>
      </c>
      <c r="J1094" s="439" t="s">
        <v>2370</v>
      </c>
      <c r="K1094" s="430">
        <v>4.0</v>
      </c>
      <c r="L1094" s="431">
        <v>5.0</v>
      </c>
      <c r="M1094" s="431">
        <v>5.0</v>
      </c>
      <c r="N1094" s="555"/>
      <c r="O1094" s="431">
        <v>3.0</v>
      </c>
      <c r="P1094" s="431">
        <v>5.0</v>
      </c>
      <c r="Q1094" s="464"/>
      <c r="R1094" s="465"/>
      <c r="S1094" s="466">
        <f>IF(ISTEXT($V1094), "TBD", RANK(V1094,$V1090:$V1096))</f>
        <v>5</v>
      </c>
      <c r="T1094" s="467">
        <v>1.0</v>
      </c>
      <c r="U1094" s="468" t="b">
        <f>Rankings!$S1094=Rankings!$T1094</f>
        <v>0</v>
      </c>
      <c r="V1094" s="553">
        <f>IF(ISTEXT(Rankings!F1094), "TBD", (RANK($F1094,$F1090:$F1096) + IF(ISTEXT($H1094), 0, (RANK($H1094,$H1090:$H1096)/10)) + (RANK($G1094,$G1090:$G1096)/100)))</f>
        <v>1.14</v>
      </c>
      <c r="W1094" s="153"/>
      <c r="Y1094" s="443"/>
    </row>
    <row r="1095" ht="15.75" customHeight="1">
      <c r="A1095" s="134"/>
      <c r="B1095" s="134"/>
      <c r="C1095" s="134"/>
      <c r="D1095" s="562">
        <f t="shared" si="158"/>
        <v>46274</v>
      </c>
      <c r="E1095" s="472" t="str">
        <f>$P$1</f>
        <v>Weston</v>
      </c>
      <c r="F1095" s="418">
        <f>IFERROR(AVERAGE(Rankings!$K1095:$R1095), "TBD")</f>
        <v>2.6</v>
      </c>
      <c r="G1095" s="418">
        <f>IFERROR(_xlfn.STDEV.P(Rankings!$K1095:$R1095), "TBD")</f>
        <v>1.019803903</v>
      </c>
      <c r="H1095" s="418">
        <f>IFERROR(AVERAGE(Rankings!$K1095:$O1095, Rankings!$Q1095:$R1095), "TBD")</f>
        <v>3</v>
      </c>
      <c r="I1095" s="440" t="s">
        <v>2371</v>
      </c>
      <c r="J1095" s="440" t="s">
        <v>2372</v>
      </c>
      <c r="K1095" s="430">
        <v>2.0</v>
      </c>
      <c r="L1095" s="431">
        <v>3.0</v>
      </c>
      <c r="M1095" s="431">
        <v>3.0</v>
      </c>
      <c r="N1095" s="555"/>
      <c r="O1095" s="431">
        <v>4.0</v>
      </c>
      <c r="P1095" s="431">
        <v>1.0</v>
      </c>
      <c r="Q1095" s="464"/>
      <c r="R1095" s="465"/>
      <c r="S1095" s="466">
        <f>IF(ISTEXT($V1095), "TBD", RANK(V1095,$V1090:$V1096))</f>
        <v>3</v>
      </c>
      <c r="T1095" s="467">
        <v>1.0</v>
      </c>
      <c r="U1095" s="468" t="b">
        <f>Rankings!$S1095=Rankings!$T1095</f>
        <v>0</v>
      </c>
      <c r="V1095" s="553">
        <f>IF(ISTEXT(Rankings!F1095), "TBD", (RANK($F1095,$F1090:$F1096) + IF(ISTEXT($H1095), 0, (RANK($H1095,$H1090:$H1096)/10)) + (RANK($G1095,$G1090:$G1096)/100)))</f>
        <v>3.32</v>
      </c>
      <c r="W1095" s="153"/>
      <c r="Y1095" s="443"/>
    </row>
    <row r="1096" ht="15.75" customHeight="1">
      <c r="A1096" s="189"/>
      <c r="B1096" s="189"/>
      <c r="C1096" s="189"/>
      <c r="D1096" s="588">
        <f t="shared" si="158"/>
        <v>46274</v>
      </c>
      <c r="E1096" s="131" t="str">
        <f>$Q$1</f>
        <v>Flocco</v>
      </c>
      <c r="F1096" s="589" t="str">
        <f>IFERROR(AVERAGE(Rankings!$K1096:$R1096), "TBD")</f>
        <v>TBD</v>
      </c>
      <c r="G1096" s="589" t="str">
        <f>IFERROR(_xlfn.STDEV.P(Rankings!$K1096:$R1096), "TBD")</f>
        <v>TBD</v>
      </c>
      <c r="H1096" s="589" t="str">
        <f>IFERROR(AVERAGE(Rankings!$K1096:$P1096, Rankings!$R1096), "TBD")</f>
        <v>TBD</v>
      </c>
      <c r="I1096" s="590"/>
      <c r="J1096" s="590"/>
      <c r="K1096" s="430"/>
      <c r="L1096" s="431"/>
      <c r="M1096" s="431" t="s">
        <v>2373</v>
      </c>
      <c r="N1096" s="555"/>
      <c r="O1096" s="431"/>
      <c r="P1096" s="431" t="s">
        <v>1698</v>
      </c>
      <c r="Q1096" s="464"/>
      <c r="R1096" s="465"/>
      <c r="S1096" s="466" t="str">
        <f>IF(ISTEXT($V1096), "TBD", RANK(V1096,$V1090:$V1096))</f>
        <v>TBD</v>
      </c>
      <c r="T1096" s="467">
        <v>1.0</v>
      </c>
      <c r="U1096" s="468" t="b">
        <f>Rankings!$S1096=Rankings!$T1096</f>
        <v>0</v>
      </c>
      <c r="V1096" s="553" t="str">
        <f>IF(ISTEXT(Rankings!F1096), "TBD", (RANK($F1096,$F1090:$F1096) + IF(ISTEXT($H1096), 0, (RANK($H1096,$H1090:$H1096)/10)) + (RANK($G1096,$G1090:$G1096)/100)))</f>
        <v>TBD</v>
      </c>
      <c r="W1096" s="208"/>
      <c r="Y1096" s="443"/>
    </row>
    <row r="1097" ht="15.75" customHeight="1">
      <c r="A1097" s="103">
        <v>46276.0</v>
      </c>
      <c r="B1097" s="453"/>
      <c r="C1097" s="454" t="str">
        <f t="array" ref="C1097">INDEX(Rankings!$E1097:$E1103, MATCH(1, (Rankings!$D1097:$D1103=$A1097)*(Rankings!$U1097:$U1103=TRUE()), 0))</f>
        <v>#N/A</v>
      </c>
      <c r="D1097" s="591"/>
      <c r="E1097" s="592"/>
      <c r="F1097" s="592" t="s">
        <v>2374</v>
      </c>
      <c r="G1097" s="9"/>
      <c r="H1097" s="9"/>
      <c r="I1097" s="9"/>
      <c r="J1097" s="9"/>
      <c r="K1097" s="422"/>
      <c r="L1097" s="423"/>
      <c r="M1097" s="423" t="s">
        <v>2375</v>
      </c>
      <c r="N1097" s="555"/>
      <c r="O1097" s="423"/>
      <c r="P1097" s="423"/>
      <c r="Q1097" s="456"/>
      <c r="R1097" s="457"/>
      <c r="S1097" s="458" t="str">
        <f>IF(ISTEXT($V1097), "TBD", RANK(V1097,$V1097:$V1103))</f>
        <v>TBD</v>
      </c>
      <c r="T1097" s="576">
        <v>1.0</v>
      </c>
      <c r="U1097" s="460" t="b">
        <f>Rankings!$S1097=Rankings!$T1097</f>
        <v>0</v>
      </c>
      <c r="V1097" s="553" t="str">
        <f>IF(ISTEXT(Rankings!F1097), "TBD", (RANK($F1097,$F1097:$F1103) + IF(ISTEXT($H1097), 0, (RANK($H1097,$H1097:$H1103)/10)) + (RANK($G1097,$G1097:$G1103)/100)))</f>
        <v>TBD</v>
      </c>
      <c r="W1097" s="329"/>
      <c r="Y1097" s="443"/>
    </row>
    <row r="1098" ht="15.75" customHeight="1">
      <c r="A1098" s="134"/>
      <c r="B1098" s="134"/>
      <c r="C1098" s="134"/>
      <c r="D1098" s="134"/>
      <c r="K1098" s="430"/>
      <c r="L1098" s="431"/>
      <c r="M1098" s="431" t="s">
        <v>2376</v>
      </c>
      <c r="N1098" s="555"/>
      <c r="O1098" s="431"/>
      <c r="P1098" s="431"/>
      <c r="Q1098" s="464"/>
      <c r="R1098" s="465"/>
      <c r="S1098" s="466" t="str">
        <f>IF(ISTEXT($V1098), "TBD", RANK(V1098,$V1097:$V1103))</f>
        <v>#N/A</v>
      </c>
      <c r="T1098" s="444">
        <v>1.0</v>
      </c>
      <c r="U1098" s="468" t="str">
        <f>Rankings!$S1098=Rankings!$T1098</f>
        <v>#N/A</v>
      </c>
      <c r="V1098" s="553" t="str">
        <f>IF(ISTEXT(Rankings!F1098), "TBD", (RANK($F1098,$F1097:$F1103) + IF(ISTEXT($H1098), 0, (RANK($H1098,$H1097:$H1103)/10)) + (RANK($G1098,$G1097:$G1103)/100)))</f>
        <v>#N/A</v>
      </c>
      <c r="W1098" s="153"/>
      <c r="Y1098" s="443"/>
    </row>
    <row r="1099" ht="15.75" customHeight="1">
      <c r="A1099" s="134"/>
      <c r="B1099" s="134"/>
      <c r="C1099" s="134"/>
      <c r="D1099" s="134"/>
      <c r="K1099" s="430"/>
      <c r="L1099" s="431"/>
      <c r="M1099" s="431" t="s">
        <v>2377</v>
      </c>
      <c r="N1099" s="555"/>
      <c r="O1099" s="431"/>
      <c r="P1099" s="431"/>
      <c r="Q1099" s="464"/>
      <c r="R1099" s="465"/>
      <c r="S1099" s="466" t="str">
        <f>IF(ISTEXT($V1099), "TBD", RANK(V1099,$V1097:$V1103))</f>
        <v>#N/A</v>
      </c>
      <c r="T1099" s="467">
        <v>1.0</v>
      </c>
      <c r="U1099" s="468" t="str">
        <f>Rankings!$S1099=Rankings!$T1099</f>
        <v>#N/A</v>
      </c>
      <c r="V1099" s="553" t="str">
        <f>IF(ISTEXT(Rankings!F1099), "TBD", (RANK($F1099,$F1097:$F1103) + IF(ISTEXT($H1099), 0, (RANK($H1099,$H1097:$H1103)/10)) + (RANK($G1099,$G1097:$G1103)/100)))</f>
        <v>#N/A</v>
      </c>
      <c r="W1099" s="153"/>
      <c r="Y1099" s="443"/>
    </row>
    <row r="1100" ht="15.75" customHeight="1">
      <c r="A1100" s="134"/>
      <c r="B1100" s="134"/>
      <c r="C1100" s="134"/>
      <c r="D1100" s="134"/>
      <c r="K1100" s="430"/>
      <c r="L1100" s="566"/>
      <c r="M1100" s="431" t="s">
        <v>2378</v>
      </c>
      <c r="N1100" s="555"/>
      <c r="O1100" s="431" t="s">
        <v>1697</v>
      </c>
      <c r="P1100" s="431" t="s">
        <v>1698</v>
      </c>
      <c r="Q1100" s="464" t="s">
        <v>1766</v>
      </c>
      <c r="R1100" s="465"/>
      <c r="S1100" s="466" t="str">
        <f>IF(ISTEXT($V1100), "TBD", RANK(V1100,$V1097:$V1103))</f>
        <v>#N/A</v>
      </c>
      <c r="T1100" s="467">
        <v>1.0</v>
      </c>
      <c r="U1100" s="468" t="str">
        <f>Rankings!$S1100=Rankings!$T1100</f>
        <v>#N/A</v>
      </c>
      <c r="V1100" s="553" t="str">
        <f>IF(ISTEXT(Rankings!F1100), "TBD", (RANK($F1100,$F1097:$F1103) + IF(ISTEXT($H1100), 0, (RANK($H1100,$H1097:$H1103)/10)) + (RANK($G1100,$G1097:$G1103)/100)))</f>
        <v>#N/A</v>
      </c>
      <c r="W1100" s="153"/>
      <c r="Y1100" s="443"/>
    </row>
    <row r="1101" ht="15.75" customHeight="1">
      <c r="A1101" s="134"/>
      <c r="B1101" s="134"/>
      <c r="C1101" s="134"/>
      <c r="D1101" s="134"/>
      <c r="K1101" s="430"/>
      <c r="L1101" s="431"/>
      <c r="M1101" s="431" t="s">
        <v>2379</v>
      </c>
      <c r="N1101" s="555"/>
      <c r="O1101" s="431"/>
      <c r="P1101" s="431"/>
      <c r="Q1101" s="464"/>
      <c r="R1101" s="465"/>
      <c r="S1101" s="466" t="str">
        <f>IF(ISTEXT($V1101), "TBD", RANK(V1101,$V1097:$V1103))</f>
        <v>#N/A</v>
      </c>
      <c r="T1101" s="467">
        <v>1.0</v>
      </c>
      <c r="U1101" s="468" t="str">
        <f>Rankings!$S1101=Rankings!$T1101</f>
        <v>#N/A</v>
      </c>
      <c r="V1101" s="553" t="str">
        <f>IF(ISTEXT(Rankings!F1101), "TBD", (RANK($F1101,$F1097:$F1103) + IF(ISTEXT($H1101), 0, (RANK($H1101,$H1097:$H1103)/10)) + (RANK($G1101,$G1097:$G1103)/100)))</f>
        <v>#N/A</v>
      </c>
      <c r="W1101" s="153"/>
      <c r="Y1101" s="443"/>
    </row>
    <row r="1102" ht="15.75" customHeight="1">
      <c r="A1102" s="134"/>
      <c r="B1102" s="134"/>
      <c r="C1102" s="134"/>
      <c r="D1102" s="134"/>
      <c r="K1102" s="430"/>
      <c r="L1102" s="431"/>
      <c r="M1102" s="431" t="s">
        <v>2380</v>
      </c>
      <c r="N1102" s="555"/>
      <c r="O1102" s="431"/>
      <c r="P1102" s="431"/>
      <c r="Q1102" s="464"/>
      <c r="R1102" s="465"/>
      <c r="S1102" s="466" t="str">
        <f>IF(ISTEXT($V1102), "TBD", RANK(V1102,$V1097:$V1103))</f>
        <v>#N/A</v>
      </c>
      <c r="T1102" s="467">
        <v>1.0</v>
      </c>
      <c r="U1102" s="468" t="str">
        <f>Rankings!$S1102=Rankings!$T1102</f>
        <v>#N/A</v>
      </c>
      <c r="V1102" s="553" t="str">
        <f>IF(ISTEXT(Rankings!F1102), "TBD", (RANK($F1102,$F1097:$F1103) + IF(ISTEXT($H1102), 0, (RANK($H1102,$H1097:$H1103)/10)) + (RANK($G1102,$G1097:$G1103)/100)))</f>
        <v>#N/A</v>
      </c>
      <c r="W1102" s="153"/>
      <c r="Y1102" s="443"/>
    </row>
    <row r="1103" ht="15.75" customHeight="1">
      <c r="A1103" s="189"/>
      <c r="B1103" s="189"/>
      <c r="C1103" s="189"/>
      <c r="D1103" s="189"/>
      <c r="E1103" s="84"/>
      <c r="F1103" s="84"/>
      <c r="G1103" s="84"/>
      <c r="H1103" s="84"/>
      <c r="I1103" s="84"/>
      <c r="J1103" s="84"/>
      <c r="K1103" s="430"/>
      <c r="L1103" s="431"/>
      <c r="M1103" s="431" t="s">
        <v>2381</v>
      </c>
      <c r="N1103" s="555"/>
      <c r="O1103" s="431"/>
      <c r="P1103" s="431" t="s">
        <v>1698</v>
      </c>
      <c r="Q1103" s="464"/>
      <c r="R1103" s="465"/>
      <c r="S1103" s="466" t="str">
        <f>IF(ISTEXT($V1103), "TBD", RANK(V1103,$V1097:$V1103))</f>
        <v>#N/A</v>
      </c>
      <c r="T1103" s="467">
        <v>1.0</v>
      </c>
      <c r="U1103" s="468" t="str">
        <f>Rankings!$S1103=Rankings!$T1103</f>
        <v>#N/A</v>
      </c>
      <c r="V1103" s="553" t="str">
        <f>IF(ISTEXT(Rankings!F1103), "TBD", (RANK($F1103,$F1097:$F1103) + IF(ISTEXT($H1103), 0, (RANK($H1103,$H1097:$H1103)/10)) + (RANK($G1103,$G1097:$G1103)/100)))</f>
        <v>#N/A</v>
      </c>
      <c r="W1103" s="208"/>
      <c r="Y1103" s="443"/>
    </row>
    <row r="1104" ht="15.75" customHeight="1">
      <c r="A1104" s="103">
        <v>46290.0</v>
      </c>
      <c r="B1104" s="453"/>
      <c r="C1104" s="454" t="str">
        <f t="array" ref="C1104">INDEX(Rankings!$E1104:$E1110, MATCH(1, (Rankings!$D1104:$D1110=$A1104)*(Rankings!$U1104:$U1110=TRUE()), 0))</f>
        <v>Parker</v>
      </c>
      <c r="D1104" s="593">
        <f>A1104</f>
        <v>46290</v>
      </c>
      <c r="E1104" s="594" t="str">
        <f>$K$1</f>
        <v>Logan</v>
      </c>
      <c r="F1104" s="595">
        <f>IFERROR(AVERAGE(Rankings!$K1104:$R1104), "TBD")</f>
        <v>2.2</v>
      </c>
      <c r="G1104" s="595">
        <f>IFERROR(_xlfn.STDEV.P(Rankings!$K1104:$R1104), "TBD")</f>
        <v>1.166190379</v>
      </c>
      <c r="H1104" s="595">
        <f>IFERROR(AVERAGE(Rankings!$L1104:$R1104), "TBD")</f>
        <v>2.5</v>
      </c>
      <c r="I1104" s="596" t="s">
        <v>2382</v>
      </c>
      <c r="J1104" s="596" t="s">
        <v>2383</v>
      </c>
      <c r="K1104" s="422">
        <v>1.0</v>
      </c>
      <c r="L1104" s="423">
        <v>1.0</v>
      </c>
      <c r="M1104" s="423">
        <v>4.0</v>
      </c>
      <c r="N1104" s="555"/>
      <c r="O1104" s="423">
        <v>2.0</v>
      </c>
      <c r="P1104" s="423">
        <v>3.0</v>
      </c>
      <c r="Q1104" s="456"/>
      <c r="R1104" s="457"/>
      <c r="S1104" s="458">
        <f>IF(ISTEXT($V1104), "TBD", RANK(V1104,$V1104:$V1110))</f>
        <v>2</v>
      </c>
      <c r="T1104" s="576">
        <v>1.0</v>
      </c>
      <c r="U1104" s="460" t="b">
        <f>Rankings!$S1104=Rankings!$T1104</f>
        <v>0</v>
      </c>
      <c r="V1104" s="553">
        <f>IF(ISTEXT(Rankings!F1104), "TBD", (RANK($F1104,$F1104:$F1110) + IF(ISTEXT($H1104), 0, (RANK($H1104,$H1104:$H1110)/10)) + (RANK($G1104,$G1104:$G1110)/100)))</f>
        <v>4.42</v>
      </c>
      <c r="W1104" s="329" t="s">
        <v>2384</v>
      </c>
      <c r="Y1104" s="443"/>
    </row>
    <row r="1105" ht="15.75" customHeight="1">
      <c r="A1105" s="134"/>
      <c r="B1105" s="134"/>
      <c r="C1105" s="134"/>
      <c r="D1105" s="554">
        <f>D1104</f>
        <v>46290</v>
      </c>
      <c r="E1105" s="463" t="str">
        <f>$L$1</f>
        <v>Parker</v>
      </c>
      <c r="F1105" s="404">
        <f>IFERROR(AVERAGE(Rankings!$K1105:$R1105), "TBD")</f>
        <v>2.2</v>
      </c>
      <c r="G1105" s="404">
        <f>IFERROR(_xlfn.STDEV.P(Rankings!$K1105:$R1105), "TBD")</f>
        <v>1.166190379</v>
      </c>
      <c r="H1105" s="404">
        <f>IFERROR(AVERAGE(Rankings!$K1105, Rankings!$M1105:$R1105), "TBD")</f>
        <v>2.25</v>
      </c>
      <c r="I1105" s="429" t="s">
        <v>2385</v>
      </c>
      <c r="J1105" s="429" t="s">
        <v>2386</v>
      </c>
      <c r="K1105" s="430">
        <v>3.0</v>
      </c>
      <c r="L1105" s="431">
        <v>2.0</v>
      </c>
      <c r="M1105" s="431">
        <v>1.0</v>
      </c>
      <c r="N1105" s="555"/>
      <c r="O1105" s="431">
        <v>1.0</v>
      </c>
      <c r="P1105" s="431">
        <v>4.0</v>
      </c>
      <c r="Q1105" s="464"/>
      <c r="R1105" s="465"/>
      <c r="S1105" s="466">
        <f>IF(ISTEXT($V1105), "TBD", RANK(V1105,$V1104:$V1110))</f>
        <v>1</v>
      </c>
      <c r="T1105" s="444">
        <v>1.0</v>
      </c>
      <c r="U1105" s="468" t="b">
        <f>Rankings!$S1105=Rankings!$T1105</f>
        <v>1</v>
      </c>
      <c r="V1105" s="553">
        <f>IF(ISTEXT(Rankings!F1105), "TBD", (RANK($F1105,$F1104:$F1110) + IF(ISTEXT($H1105), 0, (RANK($H1105,$H1104:$H1110)/10)) + (RANK($G1105,$G1104:$G1110)/100)))</f>
        <v>4.52</v>
      </c>
      <c r="W1105" s="153"/>
      <c r="Y1105" s="443"/>
    </row>
    <row r="1106" ht="15.75" customHeight="1">
      <c r="A1106" s="134"/>
      <c r="B1106" s="134"/>
      <c r="C1106" s="134"/>
      <c r="D1106" s="556">
        <f>D1104</f>
        <v>46290</v>
      </c>
      <c r="E1106" s="469" t="str">
        <f>$M$1</f>
        <v>Giacomo</v>
      </c>
      <c r="F1106" s="408">
        <f>IFERROR(AVERAGE(Rankings!$K1106:$R1106), "TBD")</f>
        <v>3.2</v>
      </c>
      <c r="G1106" s="408">
        <f>IFERROR(_xlfn.STDEV.P(Rankings!$K1106:$R1106), "TBD")</f>
        <v>1.469693846</v>
      </c>
      <c r="H1106" s="408">
        <f>IFERROR(AVERAGE(Rankings!$K1106:$L1106, Rankings!$N1106:$R1106), "TBD")</f>
        <v>3.5</v>
      </c>
      <c r="I1106" s="437" t="s">
        <v>2387</v>
      </c>
      <c r="J1106" s="437" t="s">
        <v>2388</v>
      </c>
      <c r="K1106" s="430">
        <v>4.0</v>
      </c>
      <c r="L1106" s="431">
        <v>4.0</v>
      </c>
      <c r="M1106" s="431">
        <v>2.0</v>
      </c>
      <c r="N1106" s="555"/>
      <c r="O1106" s="431">
        <v>5.0</v>
      </c>
      <c r="P1106" s="431">
        <v>1.0</v>
      </c>
      <c r="Q1106" s="464"/>
      <c r="R1106" s="465"/>
      <c r="S1106" s="466">
        <f>IF(ISTEXT($V1106), "TBD", RANK(V1106,$V1104:$V1110))</f>
        <v>4</v>
      </c>
      <c r="T1106" s="467">
        <v>1.0</v>
      </c>
      <c r="U1106" s="468" t="b">
        <f>Rankings!$S1106=Rankings!$T1106</f>
        <v>0</v>
      </c>
      <c r="V1106" s="553">
        <f>IF(ISTEXT(Rankings!F1106), "TBD", (RANK($F1106,$F1104:$F1110) + IF(ISTEXT($H1106), 0, (RANK($H1106,$H1104:$H1110)/10)) + (RANK($G1106,$G1104:$G1110)/100)))</f>
        <v>2.21</v>
      </c>
      <c r="W1106" s="153"/>
      <c r="Y1106" s="443"/>
    </row>
    <row r="1107" ht="15.75" customHeight="1">
      <c r="A1107" s="134"/>
      <c r="B1107" s="134"/>
      <c r="C1107" s="134"/>
      <c r="D1107" s="557">
        <f>D1104</f>
        <v>46290</v>
      </c>
      <c r="E1107" s="470" t="str">
        <f>$N$1</f>
        <v>Rosey</v>
      </c>
      <c r="F1107" s="411" t="str">
        <f>IFERROR(AVERAGE(Rankings!$K1107:$R1107), "TBD")</f>
        <v>TBD</v>
      </c>
      <c r="G1107" s="411" t="str">
        <f>IFERROR(_xlfn.STDEV.P(Rankings!$K1107:$R1107), "TBD")</f>
        <v>TBD</v>
      </c>
      <c r="H1107" s="411" t="str">
        <f>IFERROR(AVERAGE(Rankings!$K1107:$M1107, Rankings!$O1107:$R1107), "TBD")</f>
        <v>TBD</v>
      </c>
      <c r="I1107" s="438"/>
      <c r="J1107" s="438"/>
      <c r="K1107" s="430"/>
      <c r="L1107" s="566"/>
      <c r="M1107" s="431" t="s">
        <v>2389</v>
      </c>
      <c r="N1107" s="555"/>
      <c r="O1107" s="431" t="s">
        <v>1697</v>
      </c>
      <c r="P1107" s="431" t="s">
        <v>1698</v>
      </c>
      <c r="Q1107" s="464" t="s">
        <v>1766</v>
      </c>
      <c r="R1107" s="465"/>
      <c r="S1107" s="466" t="str">
        <f>IF(ISTEXT($V1107), "TBD", RANK(V1107,$V1104:$V1110))</f>
        <v>TBD</v>
      </c>
      <c r="T1107" s="467">
        <v>1.0</v>
      </c>
      <c r="U1107" s="468" t="b">
        <f>Rankings!$S1107=Rankings!$T1107</f>
        <v>0</v>
      </c>
      <c r="V1107" s="553" t="str">
        <f>IF(ISTEXT(Rankings!F1107), "TBD", (RANK($F1107,$F1104:$F1110) + IF(ISTEXT($H1107), 0, (RANK($H1107,$H1104:$H1110)/10)) + (RANK($G1107,$G1104:$G1110)/100)))</f>
        <v>TBD</v>
      </c>
      <c r="W1107" s="153"/>
      <c r="Y1107" s="443"/>
    </row>
    <row r="1108" ht="15.75" customHeight="1">
      <c r="A1108" s="134"/>
      <c r="B1108" s="134"/>
      <c r="C1108" s="134"/>
      <c r="D1108" s="561">
        <f t="shared" ref="D1108:D1110" si="159">D1104</f>
        <v>46290</v>
      </c>
      <c r="E1108" s="471" t="str">
        <f>$O$1</f>
        <v>TTAC</v>
      </c>
      <c r="F1108" s="414">
        <f>IFERROR(AVERAGE(Rankings!$K1108:$R1108), "TBD")</f>
        <v>4.6</v>
      </c>
      <c r="G1108" s="414">
        <f>IFERROR(_xlfn.STDEV.P(Rankings!$K1108:$R1108), "TBD")</f>
        <v>0.8</v>
      </c>
      <c r="H1108" s="414">
        <f>IFERROR(AVERAGE(Rankings!$K1108:$N1108, Rankings!$P1108:$R1108), "TBD")</f>
        <v>5</v>
      </c>
      <c r="I1108" s="439" t="s">
        <v>2390</v>
      </c>
      <c r="J1108" s="439" t="s">
        <v>2391</v>
      </c>
      <c r="K1108" s="430">
        <v>5.0</v>
      </c>
      <c r="L1108" s="431">
        <v>5.0</v>
      </c>
      <c r="M1108" s="431">
        <v>5.0</v>
      </c>
      <c r="N1108" s="555"/>
      <c r="O1108" s="431">
        <v>3.0</v>
      </c>
      <c r="P1108" s="431">
        <v>5.0</v>
      </c>
      <c r="Q1108" s="464"/>
      <c r="R1108" s="465"/>
      <c r="S1108" s="466">
        <f>IF(ISTEXT($V1108), "TBD", RANK(V1108,$V1104:$V1110))</f>
        <v>5</v>
      </c>
      <c r="T1108" s="467">
        <v>1.0</v>
      </c>
      <c r="U1108" s="468" t="b">
        <f>Rankings!$S1108=Rankings!$T1108</f>
        <v>0</v>
      </c>
      <c r="V1108" s="553">
        <f>IF(ISTEXT(Rankings!F1108), "TBD", (RANK($F1108,$F1104:$F1110) + IF(ISTEXT($H1108), 0, (RANK($H1108,$H1104:$H1110)/10)) + (RANK($G1108,$G1104:$G1110)/100)))</f>
        <v>1.14</v>
      </c>
      <c r="W1108" s="153"/>
      <c r="Y1108" s="443"/>
    </row>
    <row r="1109" ht="15.75" customHeight="1">
      <c r="A1109" s="134"/>
      <c r="B1109" s="134"/>
      <c r="C1109" s="134"/>
      <c r="D1109" s="562">
        <f t="shared" si="159"/>
        <v>46290</v>
      </c>
      <c r="E1109" s="472" t="str">
        <f>$P$1</f>
        <v>Weston</v>
      </c>
      <c r="F1109" s="418">
        <f>IFERROR(AVERAGE(Rankings!$K1109:$R1109), "TBD")</f>
        <v>2.8</v>
      </c>
      <c r="G1109" s="418">
        <f>IFERROR(_xlfn.STDEV.P(Rankings!$K1109:$R1109), "TBD")</f>
        <v>0.7483314774</v>
      </c>
      <c r="H1109" s="418">
        <f>IFERROR(AVERAGE(Rankings!$K1109:$O1109, Rankings!$Q1109:$R1109), "TBD")</f>
        <v>3</v>
      </c>
      <c r="I1109" s="440" t="s">
        <v>2392</v>
      </c>
      <c r="J1109" s="440" t="s">
        <v>818</v>
      </c>
      <c r="K1109" s="430">
        <v>2.0</v>
      </c>
      <c r="L1109" s="431">
        <v>3.0</v>
      </c>
      <c r="M1109" s="431">
        <v>3.0</v>
      </c>
      <c r="N1109" s="555"/>
      <c r="O1109" s="431">
        <v>4.0</v>
      </c>
      <c r="P1109" s="431">
        <v>2.0</v>
      </c>
      <c r="Q1109" s="464"/>
      <c r="R1109" s="465"/>
      <c r="S1109" s="466">
        <f>IF(ISTEXT($V1109), "TBD", RANK(V1109,$V1104:$V1110))</f>
        <v>3</v>
      </c>
      <c r="T1109" s="467">
        <v>1.0</v>
      </c>
      <c r="U1109" s="468" t="b">
        <f>Rankings!$S1109=Rankings!$T1109</f>
        <v>0</v>
      </c>
      <c r="V1109" s="553">
        <f>IF(ISTEXT(Rankings!F1109), "TBD", (RANK($F1109,$F1104:$F1110) + IF(ISTEXT($H1109), 0, (RANK($H1109,$H1104:$H1110)/10)) + (RANK($G1109,$G1104:$G1110)/100)))</f>
        <v>3.35</v>
      </c>
      <c r="W1109" s="153"/>
      <c r="Y1109" s="443"/>
    </row>
    <row r="1110" ht="15.75" customHeight="1">
      <c r="A1110" s="189"/>
      <c r="B1110" s="189"/>
      <c r="C1110" s="189"/>
      <c r="D1110" s="563">
        <f t="shared" si="159"/>
        <v>46290</v>
      </c>
      <c r="E1110" s="230" t="str">
        <f>$Q$1</f>
        <v>Flocco</v>
      </c>
      <c r="F1110" s="474" t="str">
        <f>IFERROR(AVERAGE(Rankings!$K1110:$R1110), "TBD")</f>
        <v>TBD</v>
      </c>
      <c r="G1110" s="474" t="str">
        <f>IFERROR(_xlfn.STDEV.P(Rankings!$K1110:$R1110), "TBD")</f>
        <v>TBD</v>
      </c>
      <c r="H1110" s="474" t="str">
        <f>IFERROR(AVERAGE(Rankings!$K1110:$P1110, Rankings!$R1110), "TBD")</f>
        <v>TBD</v>
      </c>
      <c r="I1110" s="475"/>
      <c r="J1110" s="475"/>
      <c r="K1110" s="430"/>
      <c r="L1110" s="431"/>
      <c r="M1110" s="431" t="s">
        <v>2393</v>
      </c>
      <c r="N1110" s="555"/>
      <c r="O1110" s="431"/>
      <c r="P1110" s="431" t="s">
        <v>1698</v>
      </c>
      <c r="Q1110" s="464"/>
      <c r="R1110" s="465"/>
      <c r="S1110" s="466" t="str">
        <f>IF(ISTEXT($V1110), "TBD", RANK(V1110,$V1104:$V1110))</f>
        <v>TBD</v>
      </c>
      <c r="T1110" s="467">
        <v>1.0</v>
      </c>
      <c r="U1110" s="468" t="b">
        <f>Rankings!$S1110=Rankings!$T1110</f>
        <v>0</v>
      </c>
      <c r="V1110" s="553" t="str">
        <f>IF(ISTEXT(Rankings!F1110), "TBD", (RANK($F1110,$F1104:$F1110) + IF(ISTEXT($H1110), 0, (RANK($H1110,$H1104:$H1110)/10)) + (RANK($G1110,$G1104:$G1110)/100)))</f>
        <v>TBD</v>
      </c>
      <c r="W1110" s="208"/>
      <c r="Y1110" s="443"/>
    </row>
    <row r="1111" ht="15.75" customHeight="1">
      <c r="A1111" s="103">
        <v>46293.0</v>
      </c>
      <c r="B1111" s="453"/>
      <c r="C1111" s="454" t="str">
        <f t="array" ref="C1111">INDEX(Rankings!$E1111:$E1117, MATCH(1, (Rankings!$D1111:$D1117=$A1111)*(Rankings!$U1111:$U1117=TRUE()), 0))</f>
        <v>Parker</v>
      </c>
      <c r="D1111" s="551">
        <f>A1111</f>
        <v>46293</v>
      </c>
      <c r="E1111" s="455" t="str">
        <f>$K$1</f>
        <v>Logan</v>
      </c>
      <c r="F1111" s="400">
        <f>IFERROR(AVERAGE(Rankings!$K1111:$R1111), "TBD")</f>
        <v>2.75</v>
      </c>
      <c r="G1111" s="400">
        <f>IFERROR(_xlfn.STDEV.P(Rankings!$K1111:$R1111), "TBD")</f>
        <v>1.299038106</v>
      </c>
      <c r="H1111" s="400">
        <f>IFERROR(AVERAGE(Rankings!$L1111:$R1111), "TBD")</f>
        <v>3</v>
      </c>
      <c r="I1111" s="421" t="s">
        <v>2394</v>
      </c>
      <c r="J1111" s="421" t="s">
        <v>2395</v>
      </c>
      <c r="K1111" s="422">
        <v>2.0</v>
      </c>
      <c r="L1111" s="423">
        <v>2.0</v>
      </c>
      <c r="M1111" s="423">
        <v>5.0</v>
      </c>
      <c r="N1111" s="555"/>
      <c r="O1111" s="423">
        <v>2.0</v>
      </c>
      <c r="P1111" s="423"/>
      <c r="Q1111" s="456"/>
      <c r="R1111" s="457"/>
      <c r="S1111" s="458">
        <f>IF(ISTEXT($V1111), "TBD", RANK(V1111,$V1111:$V1117))</f>
        <v>2</v>
      </c>
      <c r="T1111" s="576">
        <v>1.0</v>
      </c>
      <c r="U1111" s="460" t="b">
        <f>Rankings!$S1111=Rankings!$T1111</f>
        <v>0</v>
      </c>
      <c r="V1111" s="553">
        <f>IF(ISTEXT(Rankings!F1111), "TBD", (RANK($F1111,$F1111:$F1117) + IF(ISTEXT($H1111), 0, (RANK($H1111,$H1111:$H1117)/10)) + (RANK($G1111,$G1111:$G1117)/100)))</f>
        <v>4.42</v>
      </c>
      <c r="W1111" s="329"/>
      <c r="Y1111" s="443"/>
    </row>
    <row r="1112" ht="15.75" customHeight="1">
      <c r="A1112" s="134"/>
      <c r="B1112" s="134"/>
      <c r="C1112" s="134"/>
      <c r="D1112" s="554">
        <f>D1111</f>
        <v>46293</v>
      </c>
      <c r="E1112" s="463" t="str">
        <f>$L$1</f>
        <v>Parker</v>
      </c>
      <c r="F1112" s="404">
        <f>IFERROR(AVERAGE(Rankings!$K1112:$R1112), "TBD")</f>
        <v>1.25</v>
      </c>
      <c r="G1112" s="404">
        <f>IFERROR(_xlfn.STDEV.P(Rankings!$K1112:$R1112), "TBD")</f>
        <v>0.4330127019</v>
      </c>
      <c r="H1112" s="404">
        <f>IFERROR(AVERAGE(Rankings!$K1112, Rankings!$M1112:$R1112), "TBD")</f>
        <v>1.333333333</v>
      </c>
      <c r="I1112" s="429" t="s">
        <v>2396</v>
      </c>
      <c r="J1112" s="429" t="s">
        <v>2143</v>
      </c>
      <c r="K1112" s="430">
        <v>1.0</v>
      </c>
      <c r="L1112" s="431">
        <v>1.0</v>
      </c>
      <c r="M1112" s="431">
        <v>2.0</v>
      </c>
      <c r="N1112" s="555"/>
      <c r="O1112" s="431">
        <v>1.0</v>
      </c>
      <c r="P1112" s="431"/>
      <c r="Q1112" s="464"/>
      <c r="R1112" s="465"/>
      <c r="S1112" s="466">
        <f>IF(ISTEXT($V1112), "TBD", RANK(V1112,$V1111:$V1117))</f>
        <v>1</v>
      </c>
      <c r="T1112" s="444">
        <v>1.0</v>
      </c>
      <c r="U1112" s="468" t="b">
        <f>Rankings!$S1112=Rankings!$T1112</f>
        <v>1</v>
      </c>
      <c r="V1112" s="553">
        <f>IF(ISTEXT(Rankings!F1112), "TBD", (RANK($F1112,$F1111:$F1117) + IF(ISTEXT($H1112), 0, (RANK($H1112,$H1111:$H1117)/10)) + (RANK($G1112,$G1111:$G1117)/100)))</f>
        <v>5.55</v>
      </c>
      <c r="W1112" s="153"/>
      <c r="Y1112" s="443"/>
    </row>
    <row r="1113" ht="15.75" customHeight="1">
      <c r="A1113" s="134"/>
      <c r="B1113" s="134"/>
      <c r="C1113" s="134"/>
      <c r="D1113" s="556">
        <f>D1111</f>
        <v>46293</v>
      </c>
      <c r="E1113" s="469" t="str">
        <f>$M$1</f>
        <v>Giacomo</v>
      </c>
      <c r="F1113" s="408">
        <f>IFERROR(AVERAGE(Rankings!$K1113:$R1113), "TBD")</f>
        <v>3.75</v>
      </c>
      <c r="G1113" s="408">
        <f>IFERROR(_xlfn.STDEV.P(Rankings!$K1113:$R1113), "TBD")</f>
        <v>1.639359631</v>
      </c>
      <c r="H1113" s="408">
        <f>IFERROR(AVERAGE(Rankings!$K1113:$L1113, Rankings!$N1113:$R1113), "TBD")</f>
        <v>4.666666667</v>
      </c>
      <c r="I1113" s="437" t="s">
        <v>2397</v>
      </c>
      <c r="J1113" s="437" t="s">
        <v>2398</v>
      </c>
      <c r="K1113" s="430">
        <v>5.0</v>
      </c>
      <c r="L1113" s="431">
        <v>4.0</v>
      </c>
      <c r="M1113" s="431">
        <v>1.0</v>
      </c>
      <c r="N1113" s="555"/>
      <c r="O1113" s="431">
        <v>5.0</v>
      </c>
      <c r="P1113" s="431"/>
      <c r="Q1113" s="464"/>
      <c r="R1113" s="465"/>
      <c r="S1113" s="466">
        <f>IF(ISTEXT($V1113), "TBD", RANK(V1113,$V1111:$V1117))</f>
        <v>5</v>
      </c>
      <c r="T1113" s="467">
        <v>1.0</v>
      </c>
      <c r="U1113" s="468" t="b">
        <f>Rankings!$S1113=Rankings!$T1113</f>
        <v>0</v>
      </c>
      <c r="V1113" s="553">
        <f>IF(ISTEXT(Rankings!F1113), "TBD", (RANK($F1113,$F1111:$F1117) + IF(ISTEXT($H1113), 0, (RANK($H1113,$H1111:$H1117)/10)) + (RANK($G1113,$G1111:$G1117)/100)))</f>
        <v>1.11</v>
      </c>
      <c r="W1113" s="153"/>
      <c r="Y1113" s="443"/>
    </row>
    <row r="1114" ht="15.75" customHeight="1">
      <c r="A1114" s="134"/>
      <c r="B1114" s="134"/>
      <c r="C1114" s="134"/>
      <c r="D1114" s="557">
        <f>D1111</f>
        <v>46293</v>
      </c>
      <c r="E1114" s="470" t="str">
        <f>$N$1</f>
        <v>Rosey</v>
      </c>
      <c r="F1114" s="411" t="str">
        <f>IFERROR(AVERAGE(Rankings!$K1114:$R1114), "TBD")</f>
        <v>TBD</v>
      </c>
      <c r="G1114" s="411" t="str">
        <f>IFERROR(_xlfn.STDEV.P(Rankings!$K1114:$R1114), "TBD")</f>
        <v>TBD</v>
      </c>
      <c r="H1114" s="411" t="str">
        <f>IFERROR(AVERAGE(Rankings!$K1114:$M1114, Rankings!$O1114:$R1114), "TBD")</f>
        <v>TBD</v>
      </c>
      <c r="I1114" s="438"/>
      <c r="J1114" s="438"/>
      <c r="K1114" s="430"/>
      <c r="L1114" s="566"/>
      <c r="M1114" s="431" t="s">
        <v>2399</v>
      </c>
      <c r="N1114" s="555"/>
      <c r="O1114" s="431" t="s">
        <v>1697</v>
      </c>
      <c r="P1114" s="431" t="s">
        <v>1698</v>
      </c>
      <c r="Q1114" s="464" t="s">
        <v>1766</v>
      </c>
      <c r="R1114" s="465"/>
      <c r="S1114" s="466" t="str">
        <f>IF(ISTEXT($V1114), "TBD", RANK(V1114,$V1111:$V1117))</f>
        <v>TBD</v>
      </c>
      <c r="T1114" s="467">
        <v>1.0</v>
      </c>
      <c r="U1114" s="468" t="b">
        <f>Rankings!$S1114=Rankings!$T1114</f>
        <v>0</v>
      </c>
      <c r="V1114" s="553" t="str">
        <f>IF(ISTEXT(Rankings!F1114), "TBD", (RANK($F1114,$F1111:$F1117) + IF(ISTEXT($H1114), 0, (RANK($H1114,$H1111:$H1117)/10)) + (RANK($G1114,$G1111:$G1117)/100)))</f>
        <v>TBD</v>
      </c>
      <c r="W1114" s="153"/>
      <c r="Y1114" s="443"/>
    </row>
    <row r="1115" ht="15.75" customHeight="1">
      <c r="A1115" s="134"/>
      <c r="B1115" s="134"/>
      <c r="C1115" s="134"/>
      <c r="D1115" s="561">
        <f t="shared" ref="D1115:D1117" si="160">D1111</f>
        <v>46293</v>
      </c>
      <c r="E1115" s="471" t="str">
        <f>$O$1</f>
        <v>TTAC</v>
      </c>
      <c r="F1115" s="414">
        <f>IFERROR(AVERAGE(Rankings!$K1115:$R1115), "TBD")</f>
        <v>3.5</v>
      </c>
      <c r="G1115" s="414">
        <f>IFERROR(_xlfn.STDEV.P(Rankings!$K1115:$R1115), "TBD")</f>
        <v>0.5</v>
      </c>
      <c r="H1115" s="414">
        <f>IFERROR(AVERAGE(Rankings!$K1115:$N1115, Rankings!$P1115:$R1115), "TBD")</f>
        <v>3.333333333</v>
      </c>
      <c r="I1115" s="439" t="s">
        <v>2400</v>
      </c>
      <c r="J1115" s="439" t="s">
        <v>2401</v>
      </c>
      <c r="K1115" s="430">
        <v>4.0</v>
      </c>
      <c r="L1115" s="431">
        <v>3.0</v>
      </c>
      <c r="M1115" s="431">
        <v>3.0</v>
      </c>
      <c r="N1115" s="555"/>
      <c r="O1115" s="431">
        <v>4.0</v>
      </c>
      <c r="P1115" s="431"/>
      <c r="Q1115" s="464"/>
      <c r="R1115" s="465"/>
      <c r="S1115" s="466">
        <f>IF(ISTEXT($V1115), "TBD", RANK(V1115,$V1111:$V1117))</f>
        <v>3</v>
      </c>
      <c r="T1115" s="467">
        <v>1.0</v>
      </c>
      <c r="U1115" s="468" t="b">
        <f>Rankings!$S1115=Rankings!$T1115</f>
        <v>0</v>
      </c>
      <c r="V1115" s="553">
        <f>IF(ISTEXT(Rankings!F1115), "TBD", (RANK($F1115,$F1111:$F1117) + IF(ISTEXT($H1115), 0, (RANK($H1115,$H1111:$H1117)/10)) + (RANK($G1115,$G1111:$G1117)/100)))</f>
        <v>3.34</v>
      </c>
      <c r="W1115" s="153"/>
      <c r="Y1115" s="443"/>
    </row>
    <row r="1116" ht="15.75" customHeight="1">
      <c r="A1116" s="134"/>
      <c r="B1116" s="134"/>
      <c r="C1116" s="134"/>
      <c r="D1116" s="562">
        <f t="shared" si="160"/>
        <v>46293</v>
      </c>
      <c r="E1116" s="472" t="str">
        <f>$P$1</f>
        <v>Weston</v>
      </c>
      <c r="F1116" s="418">
        <f>IFERROR(AVERAGE(Rankings!$K1116:$R1116), "TBD")</f>
        <v>3.75</v>
      </c>
      <c r="G1116" s="418">
        <f>IFERROR(_xlfn.STDEV.P(Rankings!$K1116:$R1116), "TBD")</f>
        <v>0.8291561976</v>
      </c>
      <c r="H1116" s="418">
        <f>IFERROR(AVERAGE(Rankings!$K1116:$O1116, Rankings!$Q1116:$R1116), "TBD")</f>
        <v>3.75</v>
      </c>
      <c r="I1116" s="440" t="s">
        <v>2402</v>
      </c>
      <c r="J1116" s="440" t="s">
        <v>2403</v>
      </c>
      <c r="K1116" s="430">
        <v>3.0</v>
      </c>
      <c r="L1116" s="431">
        <v>5.0</v>
      </c>
      <c r="M1116" s="431">
        <v>4.0</v>
      </c>
      <c r="N1116" s="555"/>
      <c r="O1116" s="431">
        <v>3.0</v>
      </c>
      <c r="P1116" s="431"/>
      <c r="Q1116" s="464"/>
      <c r="R1116" s="465"/>
      <c r="S1116" s="466">
        <f>IF(ISTEXT($V1116), "TBD", RANK(V1116,$V1111:$V1117))</f>
        <v>4</v>
      </c>
      <c r="T1116" s="467">
        <v>1.0</v>
      </c>
      <c r="U1116" s="468" t="b">
        <f>Rankings!$S1116=Rankings!$T1116</f>
        <v>0</v>
      </c>
      <c r="V1116" s="553">
        <f>IF(ISTEXT(Rankings!F1116), "TBD", (RANK($F1116,$F1111:$F1117) + IF(ISTEXT($H1116), 0, (RANK($H1116,$H1111:$H1117)/10)) + (RANK($G1116,$G1111:$G1117)/100)))</f>
        <v>1.23</v>
      </c>
      <c r="W1116" s="153"/>
      <c r="Y1116" s="443"/>
    </row>
    <row r="1117" ht="15.75" customHeight="1">
      <c r="A1117" s="189"/>
      <c r="B1117" s="189"/>
      <c r="C1117" s="189"/>
      <c r="D1117" s="563">
        <f t="shared" si="160"/>
        <v>46293</v>
      </c>
      <c r="E1117" s="230" t="str">
        <f>$Q$1</f>
        <v>Flocco</v>
      </c>
      <c r="F1117" s="474" t="str">
        <f>IFERROR(AVERAGE(Rankings!$K1117:$R1117), "TBD")</f>
        <v>TBD</v>
      </c>
      <c r="G1117" s="474" t="str">
        <f>IFERROR(_xlfn.STDEV.P(Rankings!$K1117:$R1117), "TBD")</f>
        <v>TBD</v>
      </c>
      <c r="H1117" s="474" t="str">
        <f>IFERROR(AVERAGE(Rankings!$K1117:$P1117, Rankings!$R1117), "TBD")</f>
        <v>TBD</v>
      </c>
      <c r="I1117" s="475"/>
      <c r="J1117" s="475"/>
      <c r="K1117" s="430"/>
      <c r="L1117" s="431"/>
      <c r="M1117" s="431" t="s">
        <v>2404</v>
      </c>
      <c r="N1117" s="555"/>
      <c r="O1117" s="431"/>
      <c r="P1117" s="431"/>
      <c r="Q1117" s="464"/>
      <c r="R1117" s="465"/>
      <c r="S1117" s="466" t="str">
        <f>IF(ISTEXT($V1117), "TBD", RANK(V1117,$V1111:$V1117))</f>
        <v>TBD</v>
      </c>
      <c r="T1117" s="467">
        <v>1.0</v>
      </c>
      <c r="U1117" s="468" t="b">
        <f>Rankings!$S1117=Rankings!$T1117</f>
        <v>0</v>
      </c>
      <c r="V1117" s="553" t="str">
        <f>IF(ISTEXT(Rankings!F1117), "TBD", (RANK($F1117,$F1111:$F1117) + IF(ISTEXT($H1117), 0, (RANK($H1117,$H1111:$H1117)/10)) + (RANK($G1117,$G1111:$G1117)/100)))</f>
        <v>TBD</v>
      </c>
      <c r="W1117" s="208"/>
      <c r="Y1117" s="443"/>
    </row>
    <row r="1118" ht="15.75" customHeight="1">
      <c r="A1118" s="103">
        <v>46297.0</v>
      </c>
      <c r="B1118" s="453"/>
      <c r="C1118" s="454" t="str">
        <f t="array" ref="C1118">INDEX(Rankings!$E1118:$E1124, MATCH(1, (Rankings!$D1118:$D1124=$A1118)*(Rankings!$U1118:$U1124=TRUE()), 0))</f>
        <v>Logan</v>
      </c>
      <c r="D1118" s="551">
        <f>A1118</f>
        <v>46297</v>
      </c>
      <c r="E1118" s="455" t="str">
        <f>$K$1</f>
        <v>Logan</v>
      </c>
      <c r="F1118" s="400">
        <f>IFERROR(AVERAGE(Rankings!$K1118:$R1118), "TBD")</f>
        <v>2.25</v>
      </c>
      <c r="G1118" s="400">
        <f>IFERROR(_xlfn.STDEV.P(Rankings!$K1118:$R1118), "TBD")</f>
        <v>1.299038106</v>
      </c>
      <c r="H1118" s="400">
        <f>IFERROR(AVERAGE(Rankings!$L1118:$R1118), "TBD")</f>
        <v>2</v>
      </c>
      <c r="I1118" s="421" t="s">
        <v>2405</v>
      </c>
      <c r="J1118" s="421" t="s">
        <v>2406</v>
      </c>
      <c r="K1118" s="422">
        <v>3.0</v>
      </c>
      <c r="L1118" s="423">
        <v>1.0</v>
      </c>
      <c r="M1118" s="423">
        <v>4.0</v>
      </c>
      <c r="N1118" s="555"/>
      <c r="O1118" s="423">
        <v>1.0</v>
      </c>
      <c r="P1118" s="423"/>
      <c r="Q1118" s="456"/>
      <c r="R1118" s="457"/>
      <c r="S1118" s="458">
        <f>IF(ISTEXT($V1118), "TBD", RANK(V1118,$V1118:$V1124))</f>
        <v>1</v>
      </c>
      <c r="T1118" s="576">
        <v>1.0</v>
      </c>
      <c r="U1118" s="460" t="b">
        <f>Rankings!$S1118=Rankings!$T1118</f>
        <v>1</v>
      </c>
      <c r="V1118" s="553">
        <f>IF(ISTEXT(Rankings!F1118), "TBD", (RANK($F1118,$F1118:$F1124) + IF(ISTEXT($H1118), 0, (RANK($H1118,$H1118:$H1124)/10)) + (RANK($G1118,$G1118:$G1124)/100)))</f>
        <v>4.41</v>
      </c>
      <c r="W1118" s="329" t="s">
        <v>2407</v>
      </c>
      <c r="Y1118" s="443"/>
    </row>
    <row r="1119" ht="15.75" customHeight="1">
      <c r="A1119" s="134"/>
      <c r="B1119" s="134"/>
      <c r="C1119" s="134"/>
      <c r="D1119" s="554">
        <f>D1118</f>
        <v>46297</v>
      </c>
      <c r="E1119" s="463" t="str">
        <f>$L$1</f>
        <v>Parker</v>
      </c>
      <c r="F1119" s="404">
        <f>IFERROR(AVERAGE(Rankings!$K1119:$R1119), "TBD")</f>
        <v>2.25</v>
      </c>
      <c r="G1119" s="404">
        <f>IFERROR(_xlfn.STDEV.P(Rankings!$K1119:$R1119), "TBD")</f>
        <v>1.299038106</v>
      </c>
      <c r="H1119" s="404">
        <f>IFERROR(AVERAGE(Rankings!$K1119, Rankings!$M1119:$R1119), "TBD")</f>
        <v>2</v>
      </c>
      <c r="I1119" s="429" t="s">
        <v>2408</v>
      </c>
      <c r="J1119" s="429" t="s">
        <v>2409</v>
      </c>
      <c r="K1119" s="430">
        <v>1.0</v>
      </c>
      <c r="L1119" s="431">
        <v>3.0</v>
      </c>
      <c r="M1119" s="431">
        <v>1.0</v>
      </c>
      <c r="N1119" s="555"/>
      <c r="O1119" s="431">
        <v>4.0</v>
      </c>
      <c r="P1119" s="431"/>
      <c r="Q1119" s="464"/>
      <c r="R1119" s="465"/>
      <c r="S1119" s="466">
        <f>IF(ISTEXT($V1119), "TBD", RANK(V1119,$V1118:$V1124))</f>
        <v>1</v>
      </c>
      <c r="T1119" s="444">
        <v>1.0</v>
      </c>
      <c r="U1119" s="468" t="b">
        <f>Rankings!$S1119=Rankings!$T1119</f>
        <v>1</v>
      </c>
      <c r="V1119" s="553">
        <f>IF(ISTEXT(Rankings!F1119), "TBD", (RANK($F1119,$F1118:$F1124) + IF(ISTEXT($H1119), 0, (RANK($H1119,$H1118:$H1124)/10)) + (RANK($G1119,$G1118:$G1124)/100)))</f>
        <v>4.41</v>
      </c>
      <c r="W1119" s="153"/>
      <c r="Y1119" s="443"/>
    </row>
    <row r="1120" ht="15.75" customHeight="1">
      <c r="A1120" s="134"/>
      <c r="B1120" s="134"/>
      <c r="C1120" s="134"/>
      <c r="D1120" s="556">
        <f>D1118</f>
        <v>46297</v>
      </c>
      <c r="E1120" s="469" t="str">
        <f>$M$1</f>
        <v>Giacomo</v>
      </c>
      <c r="F1120" s="408">
        <f>IFERROR(AVERAGE(Rankings!$K1120:$R1120), "TBD")</f>
        <v>2.75</v>
      </c>
      <c r="G1120" s="408">
        <f>IFERROR(_xlfn.STDEV.P(Rankings!$K1120:$R1120), "TBD")</f>
        <v>1.299038106</v>
      </c>
      <c r="H1120" s="408">
        <f>IFERROR(AVERAGE(Rankings!$K1120:$L1120, Rankings!$N1120:$R1120), "TBD")</f>
        <v>3</v>
      </c>
      <c r="I1120" s="437" t="s">
        <v>2410</v>
      </c>
      <c r="J1120" s="437" t="s">
        <v>2411</v>
      </c>
      <c r="K1120" s="430">
        <v>2.0</v>
      </c>
      <c r="L1120" s="431">
        <v>2.0</v>
      </c>
      <c r="M1120" s="431">
        <v>2.0</v>
      </c>
      <c r="N1120" s="555"/>
      <c r="O1120" s="431">
        <v>5.0</v>
      </c>
      <c r="P1120" s="431"/>
      <c r="Q1120" s="464"/>
      <c r="R1120" s="465"/>
      <c r="S1120" s="466">
        <f>IF(ISTEXT($V1120), "TBD", RANK(V1120,$V1118:$V1124))</f>
        <v>3</v>
      </c>
      <c r="T1120" s="467">
        <v>1.0</v>
      </c>
      <c r="U1120" s="468" t="b">
        <f>Rankings!$S1120=Rankings!$T1120</f>
        <v>0</v>
      </c>
      <c r="V1120" s="553">
        <f>IF(ISTEXT(Rankings!F1120), "TBD", (RANK($F1120,$F1118:$F1124) + IF(ISTEXT($H1120), 0, (RANK($H1120,$H1118:$H1124)/10)) + (RANK($G1120,$G1118:$G1124)/100)))</f>
        <v>3.31</v>
      </c>
      <c r="W1120" s="153"/>
      <c r="Y1120" s="443"/>
    </row>
    <row r="1121" ht="15.75" customHeight="1">
      <c r="A1121" s="134"/>
      <c r="B1121" s="134"/>
      <c r="C1121" s="134"/>
      <c r="D1121" s="557">
        <f>D1118</f>
        <v>46297</v>
      </c>
      <c r="E1121" s="470" t="str">
        <f>$N$1</f>
        <v>Rosey</v>
      </c>
      <c r="F1121" s="411" t="str">
        <f>IFERROR(AVERAGE(Rankings!$K1121:$R1121), "TBD")</f>
        <v>TBD</v>
      </c>
      <c r="G1121" s="411" t="str">
        <f>IFERROR(_xlfn.STDEV.P(Rankings!$K1121:$R1121), "TBD")</f>
        <v>TBD</v>
      </c>
      <c r="H1121" s="411" t="str">
        <f>IFERROR(AVERAGE(Rankings!$K1121:$M1121, Rankings!$O1121:$R1121), "TBD")</f>
        <v>TBD</v>
      </c>
      <c r="I1121" s="438"/>
      <c r="J1121" s="438"/>
      <c r="K1121" s="430"/>
      <c r="L1121" s="566"/>
      <c r="M1121" s="431" t="s">
        <v>2412</v>
      </c>
      <c r="N1121" s="555"/>
      <c r="O1121" s="431" t="s">
        <v>1697</v>
      </c>
      <c r="P1121" s="431" t="s">
        <v>1698</v>
      </c>
      <c r="Q1121" s="464" t="s">
        <v>1766</v>
      </c>
      <c r="R1121" s="465"/>
      <c r="S1121" s="466" t="str">
        <f>IF(ISTEXT($V1121), "TBD", RANK(V1121,$V1118:$V1124))</f>
        <v>TBD</v>
      </c>
      <c r="T1121" s="467">
        <v>1.0</v>
      </c>
      <c r="U1121" s="468" t="b">
        <f>Rankings!$S1121=Rankings!$T1121</f>
        <v>0</v>
      </c>
      <c r="V1121" s="553" t="str">
        <f>IF(ISTEXT(Rankings!F1121), "TBD", (RANK($F1121,$F1118:$F1124) + IF(ISTEXT($H1121), 0, (RANK($H1121,$H1118:$H1124)/10)) + (RANK($G1121,$G1118:$G1124)/100)))</f>
        <v>TBD</v>
      </c>
      <c r="W1121" s="153"/>
      <c r="Y1121" s="443"/>
    </row>
    <row r="1122" ht="15.75" customHeight="1">
      <c r="A1122" s="134"/>
      <c r="B1122" s="134"/>
      <c r="C1122" s="134"/>
      <c r="D1122" s="561">
        <f t="shared" ref="D1122:D1124" si="161">D1118</f>
        <v>46297</v>
      </c>
      <c r="E1122" s="471" t="str">
        <f>$O$1</f>
        <v>TTAC</v>
      </c>
      <c r="F1122" s="414">
        <f>IFERROR(AVERAGE(Rankings!$K1122:$R1122), "TBD")</f>
        <v>4.5</v>
      </c>
      <c r="G1122" s="414">
        <f>IFERROR(_xlfn.STDEV.P(Rankings!$K1122:$R1122), "TBD")</f>
        <v>0.8660254038</v>
      </c>
      <c r="H1122" s="414">
        <f>IFERROR(AVERAGE(Rankings!$K1122:$N1122, Rankings!$P1122:$R1122), "TBD")</f>
        <v>5</v>
      </c>
      <c r="I1122" s="439" t="s">
        <v>2413</v>
      </c>
      <c r="J1122" s="439" t="s">
        <v>2414</v>
      </c>
      <c r="K1122" s="430">
        <v>5.0</v>
      </c>
      <c r="L1122" s="431">
        <v>5.0</v>
      </c>
      <c r="M1122" s="431">
        <v>5.0</v>
      </c>
      <c r="N1122" s="555"/>
      <c r="O1122" s="431">
        <v>3.0</v>
      </c>
      <c r="P1122" s="431"/>
      <c r="Q1122" s="464"/>
      <c r="R1122" s="465"/>
      <c r="S1122" s="466">
        <f>IF(ISTEXT($V1122), "TBD", RANK(V1122,$V1118:$V1124))</f>
        <v>5</v>
      </c>
      <c r="T1122" s="467">
        <v>1.0</v>
      </c>
      <c r="U1122" s="468" t="b">
        <f>Rankings!$S1122=Rankings!$T1122</f>
        <v>0</v>
      </c>
      <c r="V1122" s="553">
        <f>IF(ISTEXT(Rankings!F1122), "TBD", (RANK($F1122,$F1118:$F1124) + IF(ISTEXT($H1122), 0, (RANK($H1122,$H1118:$H1124)/10)) + (RANK($G1122,$G1118:$G1124)/100)))</f>
        <v>1.14</v>
      </c>
      <c r="W1122" s="153"/>
      <c r="Y1122" s="443"/>
    </row>
    <row r="1123" ht="15.75" customHeight="1">
      <c r="A1123" s="134"/>
      <c r="B1123" s="134"/>
      <c r="C1123" s="134"/>
      <c r="D1123" s="562">
        <f t="shared" si="161"/>
        <v>46297</v>
      </c>
      <c r="E1123" s="472" t="str">
        <f>$P$1</f>
        <v>Weston</v>
      </c>
      <c r="F1123" s="418">
        <f>IFERROR(AVERAGE(Rankings!$K1123:$R1123), "TBD")</f>
        <v>3.25</v>
      </c>
      <c r="G1123" s="418">
        <f>IFERROR(_xlfn.STDEV.P(Rankings!$K1123:$R1123), "TBD")</f>
        <v>0.8291561976</v>
      </c>
      <c r="H1123" s="418">
        <f>IFERROR(AVERAGE(Rankings!$K1123:$O1123, Rankings!$Q1123:$R1123), "TBD")</f>
        <v>3.25</v>
      </c>
      <c r="I1123" s="440" t="s">
        <v>2415</v>
      </c>
      <c r="J1123" s="440" t="s">
        <v>1028</v>
      </c>
      <c r="K1123" s="430">
        <v>4.0</v>
      </c>
      <c r="L1123" s="431">
        <v>4.0</v>
      </c>
      <c r="M1123" s="431">
        <v>3.0</v>
      </c>
      <c r="N1123" s="555"/>
      <c r="O1123" s="431">
        <v>2.0</v>
      </c>
      <c r="P1123" s="431"/>
      <c r="Q1123" s="464"/>
      <c r="R1123" s="465"/>
      <c r="S1123" s="466">
        <f>IF(ISTEXT($V1123), "TBD", RANK(V1123,$V1118:$V1124))</f>
        <v>4</v>
      </c>
      <c r="T1123" s="467">
        <v>1.0</v>
      </c>
      <c r="U1123" s="468" t="b">
        <f>Rankings!$S1123=Rankings!$T1123</f>
        <v>0</v>
      </c>
      <c r="V1123" s="553">
        <f>IF(ISTEXT(Rankings!F1123), "TBD", (RANK($F1123,$F1118:$F1124) + IF(ISTEXT($H1123), 0, (RANK($H1123,$H1118:$H1124)/10)) + (RANK($G1123,$G1118:$G1124)/100)))</f>
        <v>2.25</v>
      </c>
      <c r="W1123" s="153"/>
      <c r="Y1123" s="443"/>
    </row>
    <row r="1124" ht="15.75" customHeight="1">
      <c r="A1124" s="189"/>
      <c r="B1124" s="189"/>
      <c r="C1124" s="189"/>
      <c r="D1124" s="597">
        <f t="shared" si="161"/>
        <v>46297</v>
      </c>
      <c r="E1124" s="598" t="str">
        <f>$Q$1</f>
        <v>Flocco</v>
      </c>
      <c r="F1124" s="599" t="str">
        <f>IFERROR(AVERAGE(Rankings!$K1124:$R1124), "TBD")</f>
        <v>TBD</v>
      </c>
      <c r="G1124" s="599" t="str">
        <f>IFERROR(_xlfn.STDEV.P(Rankings!$K1124:$R1124), "TBD")</f>
        <v>TBD</v>
      </c>
      <c r="H1124" s="599" t="str">
        <f>IFERROR(AVERAGE(Rankings!$K1124:$P1124, Rankings!$R1124), "TBD")</f>
        <v>TBD</v>
      </c>
      <c r="I1124" s="600"/>
      <c r="J1124" s="600"/>
      <c r="K1124" s="430"/>
      <c r="L1124" s="431"/>
      <c r="M1124" s="431" t="s">
        <v>2416</v>
      </c>
      <c r="N1124" s="555"/>
      <c r="O1124" s="431"/>
      <c r="P1124" s="431"/>
      <c r="Q1124" s="464"/>
      <c r="R1124" s="465"/>
      <c r="S1124" s="466" t="str">
        <f>IF(ISTEXT($V1124), "TBD", RANK(V1124,$V1118:$V1124))</f>
        <v>TBD</v>
      </c>
      <c r="T1124" s="467">
        <v>1.0</v>
      </c>
      <c r="U1124" s="468" t="b">
        <f>Rankings!$S1124=Rankings!$T1124</f>
        <v>0</v>
      </c>
      <c r="V1124" s="553" t="str">
        <f>IF(ISTEXT(Rankings!F1124), "TBD", (RANK($F1124,$F1118:$F1124) + IF(ISTEXT($H1124), 0, (RANK($H1124,$H1118:$H1124)/10)) + (RANK($G1124,$G1118:$G1124)/100)))</f>
        <v>TBD</v>
      </c>
      <c r="W1124" s="208"/>
      <c r="Y1124" s="443"/>
    </row>
    <row r="1125" ht="15.75" customHeight="1">
      <c r="A1125" s="103">
        <v>46300.0</v>
      </c>
      <c r="B1125" s="453"/>
      <c r="C1125" s="454" t="str">
        <f t="array" ref="C1125">INDEX(Rankings!$E1125:$E1131, MATCH(1, (Rankings!$D1125:$D1131=$A1125)*(Rankings!$U1125:$U1131=TRUE()), 0))</f>
        <v>Logan</v>
      </c>
      <c r="D1125" s="593">
        <f>A1125</f>
        <v>46300</v>
      </c>
      <c r="E1125" s="594" t="str">
        <f>$K$1</f>
        <v>Logan</v>
      </c>
      <c r="F1125" s="595">
        <f>IFERROR(AVERAGE(Rankings!$K1125:$R1125), "TBD")</f>
        <v>2.25</v>
      </c>
      <c r="G1125" s="595">
        <f>IFERROR(_xlfn.STDEV.P(Rankings!$K1125:$R1125), "TBD")</f>
        <v>1.089724736</v>
      </c>
      <c r="H1125" s="595">
        <f>IFERROR(AVERAGE(Rankings!$L1125:$R1125), "TBD")</f>
        <v>2.333333333</v>
      </c>
      <c r="I1125" s="596" t="s">
        <v>2417</v>
      </c>
      <c r="J1125" s="596" t="s">
        <v>2418</v>
      </c>
      <c r="K1125" s="422">
        <v>2.0</v>
      </c>
      <c r="L1125" s="423">
        <v>1.0</v>
      </c>
      <c r="M1125" s="423">
        <v>4.0</v>
      </c>
      <c r="N1125" s="555"/>
      <c r="O1125" s="423">
        <v>2.0</v>
      </c>
      <c r="P1125" s="423"/>
      <c r="Q1125" s="456"/>
      <c r="R1125" s="457"/>
      <c r="S1125" s="458">
        <f>IF(ISTEXT($V1125), "TBD", RANK(V1125,$V1125:$V1131))</f>
        <v>1</v>
      </c>
      <c r="T1125" s="576">
        <v>1.0</v>
      </c>
      <c r="U1125" s="460" t="b">
        <f>Rankings!$S1125=Rankings!$T1125</f>
        <v>1</v>
      </c>
      <c r="V1125" s="553">
        <f>IF(ISTEXT(Rankings!F1125), "TBD", (RANK($F1125,$F1125:$F1131) + IF(ISTEXT($H1125), 0, (RANK($H1125,$H1125:$H1131)/10)) + (RANK($G1125,$G1125:$G1131)/100)))</f>
        <v>4.43</v>
      </c>
      <c r="W1125" s="329"/>
      <c r="Y1125" s="443"/>
    </row>
    <row r="1126" ht="15.75" customHeight="1">
      <c r="A1126" s="134"/>
      <c r="B1126" s="134"/>
      <c r="C1126" s="134"/>
      <c r="D1126" s="554">
        <f>D1125</f>
        <v>46300</v>
      </c>
      <c r="E1126" s="463" t="str">
        <f>$L$1</f>
        <v>Parker</v>
      </c>
      <c r="F1126" s="404">
        <f>IFERROR(AVERAGE(Rankings!$K1126:$R1126), "TBD")</f>
        <v>2.25</v>
      </c>
      <c r="G1126" s="404">
        <f>IFERROR(_xlfn.STDEV.P(Rankings!$K1126:$R1126), "TBD")</f>
        <v>1.089724736</v>
      </c>
      <c r="H1126" s="404">
        <f>IFERROR(AVERAGE(Rankings!$K1126, Rankings!$M1126:$R1126), "TBD")</f>
        <v>2.333333333</v>
      </c>
      <c r="I1126" s="429" t="s">
        <v>2419</v>
      </c>
      <c r="J1126" s="429" t="s">
        <v>2420</v>
      </c>
      <c r="K1126" s="430">
        <v>1.0</v>
      </c>
      <c r="L1126" s="431">
        <v>2.0</v>
      </c>
      <c r="M1126" s="431">
        <v>2.0</v>
      </c>
      <c r="N1126" s="555"/>
      <c r="O1126" s="431">
        <v>4.0</v>
      </c>
      <c r="P1126" s="431"/>
      <c r="Q1126" s="464"/>
      <c r="R1126" s="465"/>
      <c r="S1126" s="466">
        <f>IF(ISTEXT($V1126), "TBD", RANK(V1126,$V1125:$V1131))</f>
        <v>2</v>
      </c>
      <c r="T1126" s="444">
        <v>1.0</v>
      </c>
      <c r="U1126" s="468" t="b">
        <f>Rankings!$S1126=Rankings!$T1126</f>
        <v>0</v>
      </c>
      <c r="V1126" s="553">
        <f>IF(ISTEXT(Rankings!F1126), "TBD", (RANK($F1126,$F1125:$F1131) + IF(ISTEXT($H1126), 0, (RANK($H1126,$H1125:$H1131)/10)) + (RANK($G1126,$G1125:$G1131)/100)))</f>
        <v>4.42</v>
      </c>
      <c r="W1126" s="153"/>
      <c r="Y1126" s="443"/>
    </row>
    <row r="1127" ht="15.75" customHeight="1">
      <c r="A1127" s="134"/>
      <c r="B1127" s="134"/>
      <c r="C1127" s="134"/>
      <c r="D1127" s="556">
        <f>D1125</f>
        <v>46300</v>
      </c>
      <c r="E1127" s="469" t="str">
        <f>$M$1</f>
        <v>Giacomo</v>
      </c>
      <c r="F1127" s="408">
        <f>IFERROR(AVERAGE(Rankings!$K1127:$R1127), "TBD")</f>
        <v>2.5</v>
      </c>
      <c r="G1127" s="408">
        <f>IFERROR(_xlfn.STDEV.P(Rankings!$K1127:$R1127), "TBD")</f>
        <v>0.8660254038</v>
      </c>
      <c r="H1127" s="408">
        <f>IFERROR(AVERAGE(Rankings!$K1127:$L1127, Rankings!$N1127:$R1127), "TBD")</f>
        <v>3</v>
      </c>
      <c r="I1127" s="437" t="s">
        <v>2421</v>
      </c>
      <c r="J1127" s="437" t="s">
        <v>2422</v>
      </c>
      <c r="K1127" s="430">
        <v>3.0</v>
      </c>
      <c r="L1127" s="431">
        <v>3.0</v>
      </c>
      <c r="M1127" s="431">
        <v>1.0</v>
      </c>
      <c r="N1127" s="555"/>
      <c r="O1127" s="431">
        <v>3.0</v>
      </c>
      <c r="P1127" s="431"/>
      <c r="Q1127" s="464"/>
      <c r="R1127" s="465"/>
      <c r="S1127" s="466">
        <f>IF(ISTEXT($V1127), "TBD", RANK(V1127,$V1125:$V1131))</f>
        <v>3</v>
      </c>
      <c r="T1127" s="467">
        <v>1.0</v>
      </c>
      <c r="U1127" s="468" t="b">
        <f>Rankings!$S1127=Rankings!$T1127</f>
        <v>0</v>
      </c>
      <c r="V1127" s="553">
        <f>IF(ISTEXT(Rankings!F1127), "TBD", (RANK($F1127,$F1125:$F1131) + IF(ISTEXT($H1127), 0, (RANK($H1127,$H1125:$H1131)/10)) + (RANK($G1127,$G1125:$G1131)/100)))</f>
        <v>3.34</v>
      </c>
      <c r="W1127" s="153"/>
      <c r="Y1127" s="443"/>
    </row>
    <row r="1128" ht="15.75" customHeight="1">
      <c r="A1128" s="134"/>
      <c r="B1128" s="134"/>
      <c r="C1128" s="134"/>
      <c r="D1128" s="557">
        <f>D1125</f>
        <v>46300</v>
      </c>
      <c r="E1128" s="470" t="str">
        <f>$N$1</f>
        <v>Rosey</v>
      </c>
      <c r="F1128" s="411" t="str">
        <f>IFERROR(AVERAGE(Rankings!$K1128:$R1128), "TBD")</f>
        <v>TBD</v>
      </c>
      <c r="G1128" s="411" t="str">
        <f>IFERROR(_xlfn.STDEV.P(Rankings!$K1128:$R1128), "TBD")</f>
        <v>TBD</v>
      </c>
      <c r="H1128" s="411" t="str">
        <f>IFERROR(AVERAGE(Rankings!$K1128:$M1128, Rankings!$O1128:$R1128), "TBD")</f>
        <v>TBD</v>
      </c>
      <c r="I1128" s="438"/>
      <c r="J1128" s="438"/>
      <c r="K1128" s="430"/>
      <c r="L1128" s="566"/>
      <c r="M1128" s="431" t="s">
        <v>2423</v>
      </c>
      <c r="N1128" s="555"/>
      <c r="O1128" s="431" t="s">
        <v>1697</v>
      </c>
      <c r="P1128" s="431" t="s">
        <v>1698</v>
      </c>
      <c r="Q1128" s="464" t="s">
        <v>1766</v>
      </c>
      <c r="R1128" s="465"/>
      <c r="S1128" s="466" t="str">
        <f>IF(ISTEXT($V1128), "TBD", RANK(V1128,$V1125:$V1131))</f>
        <v>TBD</v>
      </c>
      <c r="T1128" s="467">
        <v>1.0</v>
      </c>
      <c r="U1128" s="468" t="b">
        <f>Rankings!$S1128=Rankings!$T1128</f>
        <v>0</v>
      </c>
      <c r="V1128" s="553" t="str">
        <f>IF(ISTEXT(Rankings!F1128), "TBD", (RANK($F1128,$F1125:$F1131) + IF(ISTEXT($H1128), 0, (RANK($H1128,$H1125:$H1131)/10)) + (RANK($G1128,$G1125:$G1131)/100)))</f>
        <v>TBD</v>
      </c>
      <c r="W1128" s="153"/>
      <c r="Y1128" s="443"/>
    </row>
    <row r="1129" ht="15.75" customHeight="1">
      <c r="A1129" s="134"/>
      <c r="B1129" s="134"/>
      <c r="C1129" s="134"/>
      <c r="D1129" s="561">
        <f t="shared" ref="D1129:D1131" si="162">D1125</f>
        <v>46300</v>
      </c>
      <c r="E1129" s="471" t="str">
        <f>$O$1</f>
        <v>TTAC</v>
      </c>
      <c r="F1129" s="414">
        <f>IFERROR(AVERAGE(Rankings!$K1129:$R1129), "TBD")</f>
        <v>4</v>
      </c>
      <c r="G1129" s="414">
        <f>IFERROR(_xlfn.STDEV.P(Rankings!$K1129:$R1129), "TBD")</f>
        <v>1.732050808</v>
      </c>
      <c r="H1129" s="414">
        <f>IFERROR(AVERAGE(Rankings!$K1129:$N1129, Rankings!$P1129:$R1129), "TBD")</f>
        <v>5</v>
      </c>
      <c r="I1129" s="439" t="s">
        <v>2424</v>
      </c>
      <c r="J1129" s="439" t="s">
        <v>2425</v>
      </c>
      <c r="K1129" s="430">
        <v>5.0</v>
      </c>
      <c r="L1129" s="431">
        <v>5.0</v>
      </c>
      <c r="M1129" s="431">
        <v>5.0</v>
      </c>
      <c r="N1129" s="555"/>
      <c r="O1129" s="431">
        <v>1.0</v>
      </c>
      <c r="P1129" s="431"/>
      <c r="Q1129" s="464"/>
      <c r="R1129" s="465"/>
      <c r="S1129" s="466">
        <f>IF(ISTEXT($V1129), "TBD", RANK(V1129,$V1125:$V1131))</f>
        <v>5</v>
      </c>
      <c r="T1129" s="467">
        <v>1.0</v>
      </c>
      <c r="U1129" s="468" t="b">
        <f>Rankings!$S1129=Rankings!$T1129</f>
        <v>0</v>
      </c>
      <c r="V1129" s="553">
        <f>IF(ISTEXT(Rankings!F1129), "TBD", (RANK($F1129,$F1125:$F1131) + IF(ISTEXT($H1129), 0, (RANK($H1129,$H1125:$H1131)/10)) + (RANK($G1129,$G1125:$G1131)/100)))</f>
        <v>1.11</v>
      </c>
      <c r="W1129" s="153"/>
      <c r="Y1129" s="443"/>
    </row>
    <row r="1130" ht="15.75" customHeight="1">
      <c r="A1130" s="134"/>
      <c r="B1130" s="134"/>
      <c r="C1130" s="134"/>
      <c r="D1130" s="562">
        <f t="shared" si="162"/>
        <v>46300</v>
      </c>
      <c r="E1130" s="472" t="str">
        <f>$P$1</f>
        <v>Weston</v>
      </c>
      <c r="F1130" s="418">
        <f>IFERROR(AVERAGE(Rankings!$K1130:$R1130), "TBD")</f>
        <v>4</v>
      </c>
      <c r="G1130" s="418">
        <f>IFERROR(_xlfn.STDEV.P(Rankings!$K1130:$R1130), "TBD")</f>
        <v>0.7071067812</v>
      </c>
      <c r="H1130" s="418">
        <f>IFERROR(AVERAGE(Rankings!$K1130:$O1130, Rankings!$Q1130:$R1130), "TBD")</f>
        <v>4</v>
      </c>
      <c r="I1130" s="440" t="s">
        <v>2426</v>
      </c>
      <c r="J1130" s="440" t="s">
        <v>2427</v>
      </c>
      <c r="K1130" s="430">
        <v>4.0</v>
      </c>
      <c r="L1130" s="431">
        <v>4.0</v>
      </c>
      <c r="M1130" s="431">
        <v>3.0</v>
      </c>
      <c r="N1130" s="555"/>
      <c r="O1130" s="431">
        <v>5.0</v>
      </c>
      <c r="P1130" s="431"/>
      <c r="Q1130" s="464"/>
      <c r="R1130" s="465"/>
      <c r="S1130" s="466">
        <f>IF(ISTEXT($V1130), "TBD", RANK(V1130,$V1125:$V1131))</f>
        <v>4</v>
      </c>
      <c r="T1130" s="467">
        <v>1.0</v>
      </c>
      <c r="U1130" s="468" t="b">
        <f>Rankings!$S1130=Rankings!$T1130</f>
        <v>0</v>
      </c>
      <c r="V1130" s="553">
        <f>IF(ISTEXT(Rankings!F1130), "TBD", (RANK($F1130,$F1125:$F1131) + IF(ISTEXT($H1130), 0, (RANK($H1130,$H1125:$H1131)/10)) + (RANK($G1130,$G1125:$G1131)/100)))</f>
        <v>1.25</v>
      </c>
      <c r="W1130" s="153"/>
      <c r="Y1130" s="443"/>
    </row>
    <row r="1131" ht="15.75" customHeight="1">
      <c r="A1131" s="189"/>
      <c r="B1131" s="189"/>
      <c r="C1131" s="189"/>
      <c r="D1131" s="563">
        <f t="shared" si="162"/>
        <v>46300</v>
      </c>
      <c r="E1131" s="230" t="str">
        <f>$Q$1</f>
        <v>Flocco</v>
      </c>
      <c r="F1131" s="474" t="str">
        <f>IFERROR(AVERAGE(Rankings!$K1131:$R1131), "TBD")</f>
        <v>TBD</v>
      </c>
      <c r="G1131" s="474" t="str">
        <f>IFERROR(_xlfn.STDEV.P(Rankings!$K1131:$R1131), "TBD")</f>
        <v>TBD</v>
      </c>
      <c r="H1131" s="474" t="str">
        <f>IFERROR(AVERAGE(Rankings!$K1131:$P1131, Rankings!$R1131), "TBD")</f>
        <v>TBD</v>
      </c>
      <c r="I1131" s="475"/>
      <c r="J1131" s="475"/>
      <c r="K1131" s="430"/>
      <c r="L1131" s="431"/>
      <c r="M1131" s="431" t="s">
        <v>2428</v>
      </c>
      <c r="N1131" s="555"/>
      <c r="O1131" s="431"/>
      <c r="P1131" s="431"/>
      <c r="Q1131" s="464"/>
      <c r="R1131" s="465"/>
      <c r="S1131" s="466" t="str">
        <f>IF(ISTEXT($V1131), "TBD", RANK(V1131,$V1125:$V1131))</f>
        <v>TBD</v>
      </c>
      <c r="T1131" s="467">
        <v>1.0</v>
      </c>
      <c r="U1131" s="468" t="b">
        <f>Rankings!$S1131=Rankings!$T1131</f>
        <v>0</v>
      </c>
      <c r="V1131" s="553" t="str">
        <f>IF(ISTEXT(Rankings!F1131), "TBD", (RANK($F1131,$F1125:$F1131) + IF(ISTEXT($H1131), 0, (RANK($H1131,$H1125:$H1131)/10)) + (RANK($G1131,$G1125:$G1131)/100)))</f>
        <v>TBD</v>
      </c>
      <c r="W1131" s="208"/>
      <c r="Y1131" s="443"/>
    </row>
    <row r="1132" ht="15.75" customHeight="1">
      <c r="A1132" s="103">
        <v>46304.0</v>
      </c>
      <c r="B1132" s="453"/>
      <c r="C1132" s="454" t="str">
        <f t="array" ref="C1132">INDEX(Rankings!$E1132:$E1138, MATCH(1, (Rankings!$D1132:$D1138=$A1132)*(Rankings!$U1132:$U1138=TRUE()), 0))</f>
        <v>Weston</v>
      </c>
      <c r="D1132" s="551">
        <f>A1132</f>
        <v>46304</v>
      </c>
      <c r="E1132" s="455" t="str">
        <f>$K$1</f>
        <v>Logan</v>
      </c>
      <c r="F1132" s="400">
        <f>IFERROR(AVERAGE(Rankings!$K1132:$R1132), "TBD")</f>
        <v>3.333333333</v>
      </c>
      <c r="G1132" s="400">
        <f>IFERROR(_xlfn.STDEV.P(Rankings!$K1132:$R1132), "TBD")</f>
        <v>1.699673171</v>
      </c>
      <c r="H1132" s="400">
        <f>IFERROR(AVERAGE(Rankings!$L1132:$R1132), "TBD")</f>
        <v>4.5</v>
      </c>
      <c r="I1132" s="421" t="s">
        <v>2429</v>
      </c>
      <c r="J1132" s="421" t="s">
        <v>2430</v>
      </c>
      <c r="K1132" s="422">
        <v>1.0</v>
      </c>
      <c r="L1132" s="423"/>
      <c r="M1132" s="423">
        <v>4.0</v>
      </c>
      <c r="N1132" s="555"/>
      <c r="O1132" s="423">
        <v>5.0</v>
      </c>
      <c r="P1132" s="423"/>
      <c r="Q1132" s="456"/>
      <c r="R1132" s="457"/>
      <c r="S1132" s="458">
        <f>IF(ISTEXT($V1132), "TBD", RANK(V1132,$V1132:$V1138))</f>
        <v>4</v>
      </c>
      <c r="T1132" s="576">
        <v>1.0</v>
      </c>
      <c r="U1132" s="460" t="b">
        <f>Rankings!$S1132=Rankings!$T1132</f>
        <v>0</v>
      </c>
      <c r="V1132" s="553">
        <f>IF(ISTEXT(Rankings!F1132), "TBD", (RANK($F1132,$F1132:$F1138) + IF(ISTEXT($H1132), 0, (RANK($H1132,$H1132:$H1138)/10)) + (RANK($G1132,$G1132:$G1138)/100)))</f>
        <v>2.21</v>
      </c>
      <c r="W1132" s="329"/>
      <c r="Y1132" s="443"/>
    </row>
    <row r="1133" ht="15.75" customHeight="1">
      <c r="A1133" s="134"/>
      <c r="B1133" s="134"/>
      <c r="C1133" s="134"/>
      <c r="D1133" s="554">
        <f>D1132</f>
        <v>46304</v>
      </c>
      <c r="E1133" s="463" t="str">
        <f>$L$1</f>
        <v>Parker</v>
      </c>
      <c r="F1133" s="404">
        <f>IFERROR(AVERAGE(Rankings!$K1133:$R1133), "TBD")</f>
        <v>2.25</v>
      </c>
      <c r="G1133" s="404">
        <f>IFERROR(_xlfn.STDEV.P(Rankings!$K1133:$R1133), "TBD")</f>
        <v>1.299038106</v>
      </c>
      <c r="H1133" s="404">
        <f>IFERROR(AVERAGE(Rankings!$K1133, Rankings!$M1133:$R1133), "TBD")</f>
        <v>2.666666667</v>
      </c>
      <c r="I1133" s="429" t="s">
        <v>2431</v>
      </c>
      <c r="J1133" s="429" t="s">
        <v>2432</v>
      </c>
      <c r="K1133" s="430">
        <v>4.0</v>
      </c>
      <c r="L1133" s="431">
        <v>1.0</v>
      </c>
      <c r="M1133" s="431">
        <v>3.0</v>
      </c>
      <c r="N1133" s="555"/>
      <c r="O1133" s="431">
        <v>1.0</v>
      </c>
      <c r="P1133" s="431"/>
      <c r="Q1133" s="464"/>
      <c r="R1133" s="465"/>
      <c r="S1133" s="466">
        <f>IF(ISTEXT($V1133), "TBD", RANK(V1133,$V1132:$V1138))</f>
        <v>2</v>
      </c>
      <c r="T1133" s="444">
        <v>1.0</v>
      </c>
      <c r="U1133" s="468" t="b">
        <f>Rankings!$S1133=Rankings!$T1133</f>
        <v>0</v>
      </c>
      <c r="V1133" s="553">
        <f>IF(ISTEXT(Rankings!F1133), "TBD", (RANK($F1133,$F1132:$F1138) + IF(ISTEXT($H1133), 0, (RANK($H1133,$H1132:$H1138)/10)) + (RANK($G1133,$G1132:$G1138)/100)))</f>
        <v>4.32</v>
      </c>
      <c r="W1133" s="153"/>
      <c r="Y1133" s="443"/>
    </row>
    <row r="1134" ht="15.75" customHeight="1">
      <c r="A1134" s="134"/>
      <c r="B1134" s="134"/>
      <c r="C1134" s="134"/>
      <c r="D1134" s="556">
        <f>D1132</f>
        <v>46304</v>
      </c>
      <c r="E1134" s="469" t="str">
        <f>$M$1</f>
        <v>Giacomo</v>
      </c>
      <c r="F1134" s="408">
        <f>IFERROR(AVERAGE(Rankings!$K1134:$R1134), "TBD")</f>
        <v>2.333333333</v>
      </c>
      <c r="G1134" s="408">
        <f>IFERROR(_xlfn.STDEV.P(Rankings!$K1134:$R1134), "TBD")</f>
        <v>0.4714045208</v>
      </c>
      <c r="H1134" s="408">
        <f>IFERROR(AVERAGE(Rankings!$K1134:$L1134, Rankings!$N1134:$R1134), "TBD")</f>
        <v>2.5</v>
      </c>
      <c r="I1134" s="437" t="s">
        <v>2433</v>
      </c>
      <c r="J1134" s="437" t="s">
        <v>2434</v>
      </c>
      <c r="K1134" s="430">
        <v>2.0</v>
      </c>
      <c r="L1134" s="431"/>
      <c r="M1134" s="431">
        <v>2.0</v>
      </c>
      <c r="N1134" s="555"/>
      <c r="O1134" s="431">
        <v>3.0</v>
      </c>
      <c r="P1134" s="431"/>
      <c r="Q1134" s="464"/>
      <c r="R1134" s="465"/>
      <c r="S1134" s="466">
        <f>IF(ISTEXT($V1134), "TBD", RANK(V1134,$V1132:$V1138))</f>
        <v>3</v>
      </c>
      <c r="T1134" s="467">
        <v>1.0</v>
      </c>
      <c r="U1134" s="468" t="b">
        <f>Rankings!$S1134=Rankings!$T1134</f>
        <v>0</v>
      </c>
      <c r="V1134" s="553">
        <f>IF(ISTEXT(Rankings!F1134), "TBD", (RANK($F1134,$F1132:$F1138) + IF(ISTEXT($H1134), 0, (RANK($H1134,$H1132:$H1138)/10)) + (RANK($G1134,$G1132:$G1138)/100)))</f>
        <v>3.45</v>
      </c>
      <c r="W1134" s="153"/>
      <c r="Y1134" s="443"/>
    </row>
    <row r="1135" ht="15.75" customHeight="1">
      <c r="A1135" s="134"/>
      <c r="B1135" s="134"/>
      <c r="C1135" s="134"/>
      <c r="D1135" s="557">
        <f>D1132</f>
        <v>46304</v>
      </c>
      <c r="E1135" s="470" t="str">
        <f>$N$1</f>
        <v>Rosey</v>
      </c>
      <c r="F1135" s="411" t="str">
        <f>IFERROR(AVERAGE(Rankings!$K1135:$R1135), "TBD")</f>
        <v>TBD</v>
      </c>
      <c r="G1135" s="411" t="str">
        <f>IFERROR(_xlfn.STDEV.P(Rankings!$K1135:$R1135), "TBD")</f>
        <v>TBD</v>
      </c>
      <c r="H1135" s="411" t="str">
        <f>IFERROR(AVERAGE(Rankings!$K1135:$M1135, Rankings!$O1135:$R1135), "TBD")</f>
        <v>TBD</v>
      </c>
      <c r="I1135" s="438"/>
      <c r="J1135" s="438"/>
      <c r="K1135" s="430"/>
      <c r="L1135" s="566"/>
      <c r="M1135" s="431" t="s">
        <v>2435</v>
      </c>
      <c r="N1135" s="555"/>
      <c r="O1135" s="431" t="s">
        <v>1697</v>
      </c>
      <c r="P1135" s="431" t="s">
        <v>1698</v>
      </c>
      <c r="Q1135" s="464" t="s">
        <v>1766</v>
      </c>
      <c r="R1135" s="465"/>
      <c r="S1135" s="466" t="str">
        <f>IF(ISTEXT($V1135), "TBD", RANK(V1135,$V1132:$V1138))</f>
        <v>TBD</v>
      </c>
      <c r="T1135" s="467">
        <v>1.0</v>
      </c>
      <c r="U1135" s="468" t="b">
        <f>Rankings!$S1135=Rankings!$T1135</f>
        <v>0</v>
      </c>
      <c r="V1135" s="553" t="str">
        <f>IF(ISTEXT(Rankings!F1135), "TBD", (RANK($F1135,$F1132:$F1138) + IF(ISTEXT($H1135), 0, (RANK($H1135,$H1132:$H1138)/10)) + (RANK($G1135,$G1132:$G1138)/100)))</f>
        <v>TBD</v>
      </c>
      <c r="W1135" s="153"/>
      <c r="Y1135" s="443"/>
    </row>
    <row r="1136" ht="15.75" customHeight="1">
      <c r="A1136" s="134"/>
      <c r="B1136" s="134"/>
      <c r="C1136" s="134"/>
      <c r="D1136" s="561">
        <f t="shared" ref="D1136:D1138" si="163">D1132</f>
        <v>46304</v>
      </c>
      <c r="E1136" s="471" t="str">
        <f>$O$1</f>
        <v>TTAC</v>
      </c>
      <c r="F1136" s="414">
        <f>IFERROR(AVERAGE(Rankings!$K1136:$R1136), "TBD")</f>
        <v>4.666666667</v>
      </c>
      <c r="G1136" s="414">
        <f>IFERROR(_xlfn.STDEV.P(Rankings!$K1136:$R1136), "TBD")</f>
        <v>0.4714045208</v>
      </c>
      <c r="H1136" s="414">
        <f>IFERROR(AVERAGE(Rankings!$K1136:$N1136, Rankings!$P1136:$R1136), "TBD")</f>
        <v>5</v>
      </c>
      <c r="I1136" s="439" t="s">
        <v>2436</v>
      </c>
      <c r="J1136" s="439" t="s">
        <v>2437</v>
      </c>
      <c r="K1136" s="430">
        <v>5.0</v>
      </c>
      <c r="L1136" s="431"/>
      <c r="M1136" s="431">
        <v>5.0</v>
      </c>
      <c r="N1136" s="555"/>
      <c r="O1136" s="431">
        <v>4.0</v>
      </c>
      <c r="P1136" s="431"/>
      <c r="Q1136" s="464"/>
      <c r="R1136" s="465"/>
      <c r="S1136" s="466">
        <f>IF(ISTEXT($V1136), "TBD", RANK(V1136,$V1132:$V1138))</f>
        <v>5</v>
      </c>
      <c r="T1136" s="467">
        <v>1.0</v>
      </c>
      <c r="U1136" s="468" t="b">
        <f>Rankings!$S1136=Rankings!$T1136</f>
        <v>0</v>
      </c>
      <c r="V1136" s="553">
        <f>IF(ISTEXT(Rankings!F1136), "TBD", (RANK($F1136,$F1132:$F1138) + IF(ISTEXT($H1136), 0, (RANK($H1136,$H1132:$H1138)/10)) + (RANK($G1136,$G1132:$G1138)/100)))</f>
        <v>1.14</v>
      </c>
      <c r="W1136" s="153"/>
      <c r="Y1136" s="443"/>
    </row>
    <row r="1137" ht="15.75" customHeight="1">
      <c r="A1137" s="134"/>
      <c r="B1137" s="134"/>
      <c r="C1137" s="134"/>
      <c r="D1137" s="562">
        <f t="shared" si="163"/>
        <v>46304</v>
      </c>
      <c r="E1137" s="472" t="str">
        <f>$P$1</f>
        <v>Weston</v>
      </c>
      <c r="F1137" s="418">
        <f>IFERROR(AVERAGE(Rankings!$K1137:$R1137), "TBD")</f>
        <v>2</v>
      </c>
      <c r="G1137" s="418">
        <f>IFERROR(_xlfn.STDEV.P(Rankings!$K1137:$R1137), "TBD")</f>
        <v>0.8164965809</v>
      </c>
      <c r="H1137" s="418">
        <f>IFERROR(AVERAGE(Rankings!$K1137:$O1137, Rankings!$Q1137:$R1137), "TBD")</f>
        <v>2</v>
      </c>
      <c r="I1137" s="440" t="s">
        <v>2438</v>
      </c>
      <c r="J1137" s="440" t="s">
        <v>2439</v>
      </c>
      <c r="K1137" s="430">
        <v>3.0</v>
      </c>
      <c r="L1137" s="431"/>
      <c r="M1137" s="431">
        <v>1.0</v>
      </c>
      <c r="N1137" s="555"/>
      <c r="O1137" s="431">
        <v>2.0</v>
      </c>
      <c r="P1137" s="431"/>
      <c r="Q1137" s="464"/>
      <c r="R1137" s="465"/>
      <c r="S1137" s="466">
        <f>IF(ISTEXT($V1137), "TBD", RANK(V1137,$V1132:$V1138))</f>
        <v>1</v>
      </c>
      <c r="T1137" s="467">
        <v>1.0</v>
      </c>
      <c r="U1137" s="468" t="b">
        <f>Rankings!$S1137=Rankings!$T1137</f>
        <v>1</v>
      </c>
      <c r="V1137" s="553">
        <f>IF(ISTEXT(Rankings!F1137), "TBD", (RANK($F1137,$F1132:$F1138) + IF(ISTEXT($H1137), 0, (RANK($H1137,$H1132:$H1138)/10)) + (RANK($G1137,$G1132:$G1138)/100)))</f>
        <v>5.53</v>
      </c>
      <c r="W1137" s="153"/>
      <c r="Y1137" s="443"/>
    </row>
    <row r="1138" ht="15.75" customHeight="1">
      <c r="A1138" s="189"/>
      <c r="B1138" s="189"/>
      <c r="C1138" s="189"/>
      <c r="D1138" s="563">
        <f t="shared" si="163"/>
        <v>46304</v>
      </c>
      <c r="E1138" s="230" t="str">
        <f>$Q$1</f>
        <v>Flocco</v>
      </c>
      <c r="F1138" s="474" t="str">
        <f>IFERROR(AVERAGE(Rankings!$K1138:$R1138), "TBD")</f>
        <v>TBD</v>
      </c>
      <c r="G1138" s="474" t="str">
        <f>IFERROR(_xlfn.STDEV.P(Rankings!$K1138:$R1138), "TBD")</f>
        <v>TBD</v>
      </c>
      <c r="H1138" s="474" t="str">
        <f>IFERROR(AVERAGE(Rankings!$K1138:$P1138, Rankings!$R1138), "TBD")</f>
        <v>TBD</v>
      </c>
      <c r="I1138" s="475"/>
      <c r="J1138" s="475"/>
      <c r="K1138" s="430"/>
      <c r="L1138" s="431"/>
      <c r="M1138" s="431" t="s">
        <v>2440</v>
      </c>
      <c r="N1138" s="555"/>
      <c r="O1138" s="431"/>
      <c r="P1138" s="431"/>
      <c r="Q1138" s="464"/>
      <c r="R1138" s="465"/>
      <c r="S1138" s="466" t="str">
        <f>IF(ISTEXT($V1138), "TBD", RANK(V1138,$V1132:$V1138))</f>
        <v>TBD</v>
      </c>
      <c r="T1138" s="467">
        <v>1.0</v>
      </c>
      <c r="U1138" s="468" t="b">
        <f>Rankings!$S1138=Rankings!$T1138</f>
        <v>0</v>
      </c>
      <c r="V1138" s="553" t="str">
        <f>IF(ISTEXT(Rankings!F1138), "TBD", (RANK($F1138,$F1132:$F1138) + IF(ISTEXT($H1138), 0, (RANK($H1138,$H1132:$H1138)/10)) + (RANK($G1138,$G1132:$G1138)/100)))</f>
        <v>TBD</v>
      </c>
      <c r="W1138" s="208"/>
      <c r="Y1138" s="443"/>
    </row>
    <row r="1139" ht="15.75" customHeight="1">
      <c r="A1139" s="103">
        <v>46307.0</v>
      </c>
      <c r="B1139" s="453"/>
      <c r="C1139" s="454" t="str">
        <f t="array" ref="C1139">INDEX(Rankings!$E1139:$E1145, MATCH(1, (Rankings!$D1139:$D1145=$A1139)*(Rankings!$U1139:$U1145=TRUE()), 0))</f>
        <v>Logan</v>
      </c>
      <c r="D1139" s="551">
        <f>A1139</f>
        <v>46307</v>
      </c>
      <c r="E1139" s="455" t="str">
        <f>$K$1</f>
        <v>Logan</v>
      </c>
      <c r="F1139" s="400">
        <f>IFERROR(AVERAGE(Rankings!$K1139:$R1139), "TBD")</f>
        <v>2</v>
      </c>
      <c r="G1139" s="400">
        <f>IFERROR(_xlfn.STDEV.P(Rankings!$K1139:$R1139), "TBD")</f>
        <v>1</v>
      </c>
      <c r="H1139" s="400">
        <f>IFERROR(AVERAGE(Rankings!$L1139:$R1139), "TBD")</f>
        <v>3</v>
      </c>
      <c r="I1139" s="421" t="s">
        <v>2441</v>
      </c>
      <c r="J1139" s="421" t="s">
        <v>2442</v>
      </c>
      <c r="K1139" s="422">
        <v>1.0</v>
      </c>
      <c r="L1139" s="423"/>
      <c r="M1139" s="423"/>
      <c r="N1139" s="555"/>
      <c r="O1139" s="423">
        <v>3.0</v>
      </c>
      <c r="P1139" s="423"/>
      <c r="Q1139" s="456"/>
      <c r="R1139" s="457"/>
      <c r="S1139" s="458">
        <f>IF(ISTEXT($V1139), "TBD", RANK(V1139,$V1139:$V1145))</f>
        <v>1</v>
      </c>
      <c r="T1139" s="576">
        <v>1.0</v>
      </c>
      <c r="U1139" s="460" t="b">
        <f>Rankings!$S1139=Rankings!$T1139</f>
        <v>1</v>
      </c>
      <c r="V1139" s="553">
        <f>IF(ISTEXT(Rankings!F1139), "TBD", (RANK($F1139,$F1139:$F1145) + IF(ISTEXT($H1139), 0, (RANK($H1139,$H1139:$H1145)/10)) + (RANK($G1139,$G1139:$G1145)/100)))</f>
        <v>4.21</v>
      </c>
      <c r="W1139" s="329"/>
      <c r="Y1139" s="443"/>
    </row>
    <row r="1140" ht="15.75" customHeight="1">
      <c r="A1140" s="134"/>
      <c r="B1140" s="134"/>
      <c r="C1140" s="134"/>
      <c r="D1140" s="554">
        <f>D1139</f>
        <v>46307</v>
      </c>
      <c r="E1140" s="463" t="str">
        <f>$L$1</f>
        <v>Parker</v>
      </c>
      <c r="F1140" s="404">
        <f>IFERROR(AVERAGE(Rankings!$K1140:$R1140), "TBD")</f>
        <v>3</v>
      </c>
      <c r="G1140" s="404">
        <f>IFERROR(_xlfn.STDEV.P(Rankings!$K1140:$R1140), "TBD")</f>
        <v>1</v>
      </c>
      <c r="H1140" s="404">
        <f>IFERROR(AVERAGE(Rankings!$K1140, Rankings!$M1140:$R1140), "TBD")</f>
        <v>3</v>
      </c>
      <c r="I1140" s="429" t="s">
        <v>2443</v>
      </c>
      <c r="J1140" s="429" t="s">
        <v>2444</v>
      </c>
      <c r="K1140" s="430">
        <v>4.0</v>
      </c>
      <c r="L1140" s="431"/>
      <c r="M1140" s="431"/>
      <c r="N1140" s="555"/>
      <c r="O1140" s="431">
        <v>2.0</v>
      </c>
      <c r="P1140" s="431"/>
      <c r="Q1140" s="464"/>
      <c r="R1140" s="465"/>
      <c r="S1140" s="466">
        <f>IF(ISTEXT($V1140), "TBD", RANK(V1140,$V1139:$V1145))</f>
        <v>3</v>
      </c>
      <c r="T1140" s="444">
        <v>1.0</v>
      </c>
      <c r="U1140" s="468" t="b">
        <f>Rankings!$S1140=Rankings!$T1140</f>
        <v>0</v>
      </c>
      <c r="V1140" s="553">
        <f>IF(ISTEXT(Rankings!F1140), "TBD", (RANK($F1140,$F1139:$F1145) + IF(ISTEXT($H1140), 0, (RANK($H1140,$H1139:$H1145)/10)) + (RANK($G1140,$G1139:$G1145)/100)))</f>
        <v>2.21</v>
      </c>
      <c r="W1140" s="153"/>
      <c r="Y1140" s="443"/>
    </row>
    <row r="1141" ht="15.75" customHeight="1">
      <c r="A1141" s="134"/>
      <c r="B1141" s="134"/>
      <c r="C1141" s="134"/>
      <c r="D1141" s="556">
        <f>D1139</f>
        <v>46307</v>
      </c>
      <c r="E1141" s="469" t="str">
        <f>$M$1</f>
        <v>Giacomo</v>
      </c>
      <c r="F1141" s="408">
        <f>IFERROR(AVERAGE(Rankings!$K1141:$R1141), "TBD")</f>
        <v>5</v>
      </c>
      <c r="G1141" s="408">
        <f>IFERROR(_xlfn.STDEV.P(Rankings!$K1141:$R1141), "TBD")</f>
        <v>0</v>
      </c>
      <c r="H1141" s="408">
        <f>IFERROR(AVERAGE(Rankings!$K1141:$L1141, Rankings!$N1141:$R1141), "TBD")</f>
        <v>5</v>
      </c>
      <c r="I1141" s="437" t="s">
        <v>2445</v>
      </c>
      <c r="J1141" s="437" t="s">
        <v>2446</v>
      </c>
      <c r="K1141" s="430">
        <v>5.0</v>
      </c>
      <c r="L1141" s="431"/>
      <c r="M1141" s="431"/>
      <c r="N1141" s="555"/>
      <c r="O1141" s="431">
        <v>5.0</v>
      </c>
      <c r="P1141" s="431"/>
      <c r="Q1141" s="464"/>
      <c r="R1141" s="465"/>
      <c r="S1141" s="466">
        <f>IF(ISTEXT($V1141), "TBD", RANK(V1141,$V1139:$V1145))</f>
        <v>5</v>
      </c>
      <c r="T1141" s="467">
        <v>1.0</v>
      </c>
      <c r="U1141" s="468" t="b">
        <f>Rankings!$S1141=Rankings!$T1141</f>
        <v>0</v>
      </c>
      <c r="V1141" s="553">
        <f>IF(ISTEXT(Rankings!F1141), "TBD", (RANK($F1141,$F1139:$F1145) + IF(ISTEXT($H1141), 0, (RANK($H1141,$H1139:$H1145)/10)) + (RANK($G1141,$G1139:$G1145)/100)))</f>
        <v>1.15</v>
      </c>
      <c r="W1141" s="153"/>
      <c r="Y1141" s="443"/>
    </row>
    <row r="1142" ht="15.75" customHeight="1">
      <c r="A1142" s="134"/>
      <c r="B1142" s="134"/>
      <c r="C1142" s="134"/>
      <c r="D1142" s="557">
        <f>D1139</f>
        <v>46307</v>
      </c>
      <c r="E1142" s="470" t="str">
        <f>$N$1</f>
        <v>Rosey</v>
      </c>
      <c r="F1142" s="411" t="str">
        <f>IFERROR(AVERAGE(Rankings!$K1142:$R1142), "TBD")</f>
        <v>TBD</v>
      </c>
      <c r="G1142" s="411" t="str">
        <f>IFERROR(_xlfn.STDEV.P(Rankings!$K1142:$R1142), "TBD")</f>
        <v>TBD</v>
      </c>
      <c r="H1142" s="411" t="str">
        <f>IFERROR(AVERAGE(Rankings!$K1142:$M1142, Rankings!$O1142:$R1142), "TBD")</f>
        <v>TBD</v>
      </c>
      <c r="I1142" s="438"/>
      <c r="J1142" s="438"/>
      <c r="K1142" s="430"/>
      <c r="L1142" s="566"/>
      <c r="M1142" s="431"/>
      <c r="N1142" s="555"/>
      <c r="O1142" s="431" t="s">
        <v>1697</v>
      </c>
      <c r="P1142" s="431" t="s">
        <v>1698</v>
      </c>
      <c r="Q1142" s="464" t="s">
        <v>1766</v>
      </c>
      <c r="R1142" s="465"/>
      <c r="S1142" s="466" t="str">
        <f>IF(ISTEXT($V1142), "TBD", RANK(V1142,$V1139:$V1145))</f>
        <v>TBD</v>
      </c>
      <c r="T1142" s="467">
        <v>1.0</v>
      </c>
      <c r="U1142" s="468" t="b">
        <f>Rankings!$S1142=Rankings!$T1142</f>
        <v>0</v>
      </c>
      <c r="V1142" s="553" t="str">
        <f>IF(ISTEXT(Rankings!F1142), "TBD", (RANK($F1142,$F1139:$F1145) + IF(ISTEXT($H1142), 0, (RANK($H1142,$H1139:$H1145)/10)) + (RANK($G1142,$G1139:$G1145)/100)))</f>
        <v>TBD</v>
      </c>
      <c r="W1142" s="153"/>
      <c r="Y1142" s="443"/>
    </row>
    <row r="1143" ht="15.75" customHeight="1">
      <c r="A1143" s="134"/>
      <c r="B1143" s="134"/>
      <c r="C1143" s="134"/>
      <c r="D1143" s="561">
        <f t="shared" ref="D1143:D1145" si="164">D1139</f>
        <v>46307</v>
      </c>
      <c r="E1143" s="471" t="str">
        <f>$O$1</f>
        <v>TTAC</v>
      </c>
      <c r="F1143" s="414">
        <f>IFERROR(AVERAGE(Rankings!$K1143:$R1143), "TBD")</f>
        <v>2</v>
      </c>
      <c r="G1143" s="414">
        <f>IFERROR(_xlfn.STDEV.P(Rankings!$K1143:$R1143), "TBD")</f>
        <v>1</v>
      </c>
      <c r="H1143" s="414">
        <f>IFERROR(AVERAGE(Rankings!$K1143:$N1143, Rankings!$P1143:$R1143), "TBD")</f>
        <v>3</v>
      </c>
      <c r="I1143" s="439" t="s">
        <v>2447</v>
      </c>
      <c r="J1143" s="439" t="s">
        <v>2448</v>
      </c>
      <c r="K1143" s="430">
        <v>3.0</v>
      </c>
      <c r="L1143" s="431"/>
      <c r="M1143" s="431"/>
      <c r="N1143" s="555"/>
      <c r="O1143" s="431">
        <v>1.0</v>
      </c>
      <c r="P1143" s="431"/>
      <c r="Q1143" s="464"/>
      <c r="R1143" s="465"/>
      <c r="S1143" s="466">
        <f>IF(ISTEXT($V1143), "TBD", RANK(V1143,$V1139:$V1145))</f>
        <v>1</v>
      </c>
      <c r="T1143" s="467">
        <v>1.0</v>
      </c>
      <c r="U1143" s="468" t="b">
        <f>Rankings!$S1143=Rankings!$T1143</f>
        <v>1</v>
      </c>
      <c r="V1143" s="553">
        <f>IF(ISTEXT(Rankings!F1143), "TBD", (RANK($F1143,$F1139:$F1145) + IF(ISTEXT($H1143), 0, (RANK($H1143,$H1139:$H1145)/10)) + (RANK($G1143,$G1139:$G1145)/100)))</f>
        <v>4.21</v>
      </c>
      <c r="W1143" s="153"/>
      <c r="Y1143" s="443"/>
    </row>
    <row r="1144" ht="15.75" customHeight="1">
      <c r="A1144" s="134"/>
      <c r="B1144" s="134"/>
      <c r="C1144" s="134"/>
      <c r="D1144" s="562">
        <f t="shared" si="164"/>
        <v>46307</v>
      </c>
      <c r="E1144" s="472" t="str">
        <f>$P$1</f>
        <v>Weston</v>
      </c>
      <c r="F1144" s="418">
        <f>IFERROR(AVERAGE(Rankings!$K1144:$R1144), "TBD")</f>
        <v>3</v>
      </c>
      <c r="G1144" s="418">
        <f>IFERROR(_xlfn.STDEV.P(Rankings!$K1144:$R1144), "TBD")</f>
        <v>1</v>
      </c>
      <c r="H1144" s="418">
        <f>IFERROR(AVERAGE(Rankings!$K1144:$O1144, Rankings!$Q1144:$R1144), "TBD")</f>
        <v>3</v>
      </c>
      <c r="I1144" s="440"/>
      <c r="J1144" s="440"/>
      <c r="K1144" s="430">
        <v>2.0</v>
      </c>
      <c r="L1144" s="431"/>
      <c r="M1144" s="431"/>
      <c r="N1144" s="555"/>
      <c r="O1144" s="431">
        <v>4.0</v>
      </c>
      <c r="P1144" s="431"/>
      <c r="Q1144" s="464"/>
      <c r="R1144" s="465"/>
      <c r="S1144" s="466">
        <f>IF(ISTEXT($V1144), "TBD", RANK(V1144,$V1139:$V1145))</f>
        <v>3</v>
      </c>
      <c r="T1144" s="467">
        <v>1.0</v>
      </c>
      <c r="U1144" s="468" t="b">
        <f>Rankings!$S1144=Rankings!$T1144</f>
        <v>0</v>
      </c>
      <c r="V1144" s="553">
        <f>IF(ISTEXT(Rankings!F1144), "TBD", (RANK($F1144,$F1139:$F1145) + IF(ISTEXT($H1144), 0, (RANK($H1144,$H1139:$H1145)/10)) + (RANK($G1144,$G1139:$G1145)/100)))</f>
        <v>2.21</v>
      </c>
      <c r="W1144" s="153"/>
      <c r="Y1144" s="443"/>
    </row>
    <row r="1145" ht="15.75" customHeight="1">
      <c r="A1145" s="189"/>
      <c r="B1145" s="189"/>
      <c r="C1145" s="189"/>
      <c r="D1145" s="563">
        <f t="shared" si="164"/>
        <v>46307</v>
      </c>
      <c r="E1145" s="230" t="str">
        <f>$Q$1</f>
        <v>Flocco</v>
      </c>
      <c r="F1145" s="474" t="str">
        <f>IFERROR(AVERAGE(Rankings!$K1145:$R1145), "TBD")</f>
        <v>TBD</v>
      </c>
      <c r="G1145" s="474" t="str">
        <f>IFERROR(_xlfn.STDEV.P(Rankings!$K1145:$R1145), "TBD")</f>
        <v>TBD</v>
      </c>
      <c r="H1145" s="474" t="str">
        <f>IFERROR(AVERAGE(Rankings!$K1145:$P1145, Rankings!$R1145), "TBD")</f>
        <v>TBD</v>
      </c>
      <c r="I1145" s="475"/>
      <c r="J1145" s="475"/>
      <c r="K1145" s="430"/>
      <c r="L1145" s="431"/>
      <c r="M1145" s="431"/>
      <c r="N1145" s="555"/>
      <c r="O1145" s="431"/>
      <c r="P1145" s="431"/>
      <c r="Q1145" s="464"/>
      <c r="R1145" s="465"/>
      <c r="S1145" s="466" t="str">
        <f>IF(ISTEXT($V1145), "TBD", RANK(V1145,$V1139:$V1145))</f>
        <v>TBD</v>
      </c>
      <c r="T1145" s="467">
        <v>1.0</v>
      </c>
      <c r="U1145" s="468" t="b">
        <f>Rankings!$S1145=Rankings!$T1145</f>
        <v>0</v>
      </c>
      <c r="V1145" s="553" t="str">
        <f>IF(ISTEXT(Rankings!F1145), "TBD", (RANK($F1145,$F1139:$F1145) + IF(ISTEXT($H1145), 0, (RANK($H1145,$H1139:$H1145)/10)) + (RANK($G1145,$G1139:$G1145)/100)))</f>
        <v>TBD</v>
      </c>
      <c r="W1145" s="208"/>
      <c r="Y1145" s="443"/>
    </row>
    <row r="1146" ht="15.75" customHeight="1">
      <c r="A1146" s="103">
        <v>46311.0</v>
      </c>
      <c r="B1146" s="453"/>
      <c r="C1146" s="454" t="str">
        <f t="array" ref="C1146">INDEX(Rankings!$E1146:$E1152, MATCH(1, (Rankings!$D1146:$D1152=$A1146)*(Rankings!$U1146:$U1152=TRUE()), 0))</f>
        <v>#N/A</v>
      </c>
      <c r="D1146" s="551">
        <f>A1146</f>
        <v>46311</v>
      </c>
      <c r="E1146" s="455" t="str">
        <f>$K$1</f>
        <v>Logan</v>
      </c>
      <c r="F1146" s="400" t="str">
        <f>IFERROR(AVERAGE(Rankings!$K1146:$R1146), "TBD")</f>
        <v>TBD</v>
      </c>
      <c r="G1146" s="400" t="str">
        <f>IFERROR(_xlfn.STDEV.P(Rankings!$K1146:$R1146), "TBD")</f>
        <v>TBD</v>
      </c>
      <c r="H1146" s="400" t="str">
        <f>IFERROR(AVERAGE(Rankings!$L1146:$R1146), "TBD")</f>
        <v>TBD</v>
      </c>
      <c r="I1146" s="421"/>
      <c r="J1146" s="421"/>
      <c r="K1146" s="422"/>
      <c r="L1146" s="423"/>
      <c r="M1146" s="423"/>
      <c r="N1146" s="555"/>
      <c r="O1146" s="423"/>
      <c r="P1146" s="423"/>
      <c r="Q1146" s="456"/>
      <c r="R1146" s="457"/>
      <c r="S1146" s="458" t="str">
        <f>IF(ISTEXT($V1146), "TBD", RANK(V1146,$V1146:$V1152))</f>
        <v>TBD</v>
      </c>
      <c r="T1146" s="576">
        <v>1.0</v>
      </c>
      <c r="U1146" s="460" t="b">
        <f>Rankings!$S1146=Rankings!$T1146</f>
        <v>0</v>
      </c>
      <c r="V1146" s="553" t="str">
        <f>IF(ISTEXT(Rankings!F1146), "TBD", (RANK($F1146,$F1146:$F1152) + IF(ISTEXT($H1146), 0, (RANK($H1146,$H1146:$H1152)/10)) + (RANK($G1146,$G1146:$G1152)/100)))</f>
        <v>TBD</v>
      </c>
      <c r="W1146" s="329"/>
      <c r="Y1146" s="443"/>
    </row>
    <row r="1147" ht="15.75" customHeight="1">
      <c r="A1147" s="134"/>
      <c r="B1147" s="134"/>
      <c r="C1147" s="134"/>
      <c r="D1147" s="554">
        <f>D1146</f>
        <v>46311</v>
      </c>
      <c r="E1147" s="463" t="str">
        <f>$L$1</f>
        <v>Parker</v>
      </c>
      <c r="F1147" s="404" t="str">
        <f>IFERROR(AVERAGE(Rankings!$K1147:$R1147), "TBD")</f>
        <v>TBD</v>
      </c>
      <c r="G1147" s="404" t="str">
        <f>IFERROR(_xlfn.STDEV.P(Rankings!$K1147:$R1147), "TBD")</f>
        <v>TBD</v>
      </c>
      <c r="H1147" s="404" t="str">
        <f>IFERROR(AVERAGE(Rankings!$K1147, Rankings!$M1147:$R1147), "TBD")</f>
        <v>TBD</v>
      </c>
      <c r="I1147" s="429"/>
      <c r="J1147" s="429"/>
      <c r="K1147" s="430"/>
      <c r="L1147" s="431"/>
      <c r="M1147" s="431"/>
      <c r="N1147" s="555"/>
      <c r="O1147" s="431"/>
      <c r="P1147" s="431"/>
      <c r="Q1147" s="464"/>
      <c r="R1147" s="465"/>
      <c r="S1147" s="466" t="str">
        <f>IF(ISTEXT($V1147), "TBD", RANK(V1147,$V1146:$V1152))</f>
        <v>TBD</v>
      </c>
      <c r="T1147" s="444">
        <v>1.0</v>
      </c>
      <c r="U1147" s="468" t="b">
        <f>Rankings!$S1147=Rankings!$T1147</f>
        <v>0</v>
      </c>
      <c r="V1147" s="553" t="str">
        <f>IF(ISTEXT(Rankings!F1147), "TBD", (RANK($F1147,$F1146:$F1152) + IF(ISTEXT($H1147), 0, (RANK($H1147,$H1146:$H1152)/10)) + (RANK($G1147,$G1146:$G1152)/100)))</f>
        <v>TBD</v>
      </c>
      <c r="W1147" s="153"/>
      <c r="Y1147" s="443"/>
    </row>
    <row r="1148" ht="15.75" customHeight="1">
      <c r="A1148" s="134"/>
      <c r="B1148" s="134"/>
      <c r="C1148" s="134"/>
      <c r="D1148" s="556">
        <f>D1146</f>
        <v>46311</v>
      </c>
      <c r="E1148" s="469" t="str">
        <f>$M$1</f>
        <v>Giacomo</v>
      </c>
      <c r="F1148" s="408" t="str">
        <f>IFERROR(AVERAGE(Rankings!$K1148:$R1148), "TBD")</f>
        <v>TBD</v>
      </c>
      <c r="G1148" s="408" t="str">
        <f>IFERROR(_xlfn.STDEV.P(Rankings!$K1148:$R1148), "TBD")</f>
        <v>TBD</v>
      </c>
      <c r="H1148" s="408" t="str">
        <f>IFERROR(AVERAGE(Rankings!$K1148:$L1148, Rankings!$N1148:$R1148), "TBD")</f>
        <v>TBD</v>
      </c>
      <c r="I1148" s="437"/>
      <c r="J1148" s="437"/>
      <c r="K1148" s="430"/>
      <c r="L1148" s="431"/>
      <c r="M1148" s="431"/>
      <c r="N1148" s="555"/>
      <c r="O1148" s="431"/>
      <c r="P1148" s="431"/>
      <c r="Q1148" s="464"/>
      <c r="R1148" s="465"/>
      <c r="S1148" s="466" t="str">
        <f>IF(ISTEXT($V1148), "TBD", RANK(V1148,$V1146:$V1152))</f>
        <v>TBD</v>
      </c>
      <c r="T1148" s="467">
        <v>1.0</v>
      </c>
      <c r="U1148" s="468" t="b">
        <f>Rankings!$S1148=Rankings!$T1148</f>
        <v>0</v>
      </c>
      <c r="V1148" s="553" t="str">
        <f>IF(ISTEXT(Rankings!F1148), "TBD", (RANK($F1148,$F1146:$F1152) + IF(ISTEXT($H1148), 0, (RANK($H1148,$H1146:$H1152)/10)) + (RANK($G1148,$G1146:$G1152)/100)))</f>
        <v>TBD</v>
      </c>
      <c r="W1148" s="153"/>
      <c r="Y1148" s="443"/>
    </row>
    <row r="1149" ht="15.75" customHeight="1">
      <c r="A1149" s="134"/>
      <c r="B1149" s="134"/>
      <c r="C1149" s="134"/>
      <c r="D1149" s="557">
        <f>D1146</f>
        <v>46311</v>
      </c>
      <c r="E1149" s="470" t="str">
        <f>$N$1</f>
        <v>Rosey</v>
      </c>
      <c r="F1149" s="411" t="str">
        <f>IFERROR(AVERAGE(Rankings!$K1149:$R1149), "TBD")</f>
        <v>TBD</v>
      </c>
      <c r="G1149" s="411" t="str">
        <f>IFERROR(_xlfn.STDEV.P(Rankings!$K1149:$R1149), "TBD")</f>
        <v>TBD</v>
      </c>
      <c r="H1149" s="411" t="str">
        <f>IFERROR(AVERAGE(Rankings!$K1149:$M1149, Rankings!$O1149:$R1149), "TBD")</f>
        <v>TBD</v>
      </c>
      <c r="I1149" s="438"/>
      <c r="J1149" s="438"/>
      <c r="K1149" s="430"/>
      <c r="L1149" s="566"/>
      <c r="M1149" s="431"/>
      <c r="N1149" s="555"/>
      <c r="O1149" s="431" t="s">
        <v>1697</v>
      </c>
      <c r="P1149" s="431" t="s">
        <v>1698</v>
      </c>
      <c r="Q1149" s="464" t="s">
        <v>1766</v>
      </c>
      <c r="R1149" s="465"/>
      <c r="S1149" s="466" t="str">
        <f>IF(ISTEXT($V1149), "TBD", RANK(V1149,$V1146:$V1152))</f>
        <v>TBD</v>
      </c>
      <c r="T1149" s="467">
        <v>1.0</v>
      </c>
      <c r="U1149" s="468" t="b">
        <f>Rankings!$S1149=Rankings!$T1149</f>
        <v>0</v>
      </c>
      <c r="V1149" s="553" t="str">
        <f>IF(ISTEXT(Rankings!F1149), "TBD", (RANK($F1149,$F1146:$F1152) + IF(ISTEXT($H1149), 0, (RANK($H1149,$H1146:$H1152)/10)) + (RANK($G1149,$G1146:$G1152)/100)))</f>
        <v>TBD</v>
      </c>
      <c r="W1149" s="153"/>
      <c r="Y1149" s="443"/>
    </row>
    <row r="1150" ht="15.75" customHeight="1">
      <c r="A1150" s="134"/>
      <c r="B1150" s="134"/>
      <c r="C1150" s="134"/>
      <c r="D1150" s="561">
        <f t="shared" ref="D1150:D1152" si="165">D1146</f>
        <v>46311</v>
      </c>
      <c r="E1150" s="471" t="str">
        <f>$O$1</f>
        <v>TTAC</v>
      </c>
      <c r="F1150" s="414" t="str">
        <f>IFERROR(AVERAGE(Rankings!$K1150:$R1150), "TBD")</f>
        <v>TBD</v>
      </c>
      <c r="G1150" s="414" t="str">
        <f>IFERROR(_xlfn.STDEV.P(Rankings!$K1150:$R1150), "TBD")</f>
        <v>TBD</v>
      </c>
      <c r="H1150" s="414" t="str">
        <f>IFERROR(AVERAGE(Rankings!$K1150:$N1150, Rankings!$P1150:$R1150), "TBD")</f>
        <v>TBD</v>
      </c>
      <c r="I1150" s="439"/>
      <c r="J1150" s="439"/>
      <c r="K1150" s="430"/>
      <c r="L1150" s="431"/>
      <c r="M1150" s="431"/>
      <c r="N1150" s="555"/>
      <c r="O1150" s="431"/>
      <c r="P1150" s="431"/>
      <c r="Q1150" s="464"/>
      <c r="R1150" s="465"/>
      <c r="S1150" s="466" t="str">
        <f>IF(ISTEXT($V1150), "TBD", RANK(V1150,$V1146:$V1152))</f>
        <v>TBD</v>
      </c>
      <c r="T1150" s="467">
        <v>1.0</v>
      </c>
      <c r="U1150" s="468" t="b">
        <f>Rankings!$S1150=Rankings!$T1150</f>
        <v>0</v>
      </c>
      <c r="V1150" s="553" t="str">
        <f>IF(ISTEXT(Rankings!F1150), "TBD", (RANK($F1150,$F1146:$F1152) + IF(ISTEXT($H1150), 0, (RANK($H1150,$H1146:$H1152)/10)) + (RANK($G1150,$G1146:$G1152)/100)))</f>
        <v>TBD</v>
      </c>
      <c r="W1150" s="153"/>
      <c r="Y1150" s="443"/>
    </row>
    <row r="1151" ht="15.75" customHeight="1">
      <c r="A1151" s="134"/>
      <c r="B1151" s="134"/>
      <c r="C1151" s="134"/>
      <c r="D1151" s="562">
        <f t="shared" si="165"/>
        <v>46311</v>
      </c>
      <c r="E1151" s="472" t="str">
        <f>$P$1</f>
        <v>Weston</v>
      </c>
      <c r="F1151" s="418" t="str">
        <f>IFERROR(AVERAGE(Rankings!$K1151:$R1151), "TBD")</f>
        <v>TBD</v>
      </c>
      <c r="G1151" s="418" t="str">
        <f>IFERROR(_xlfn.STDEV.P(Rankings!$K1151:$R1151), "TBD")</f>
        <v>TBD</v>
      </c>
      <c r="H1151" s="418" t="str">
        <f>IFERROR(AVERAGE(Rankings!$K1151:$O1151, Rankings!$Q1151:$R1151), "TBD")</f>
        <v>TBD</v>
      </c>
      <c r="I1151" s="440"/>
      <c r="J1151" s="440"/>
      <c r="K1151" s="430"/>
      <c r="L1151" s="431"/>
      <c r="M1151" s="431"/>
      <c r="N1151" s="555"/>
      <c r="O1151" s="431"/>
      <c r="P1151" s="431"/>
      <c r="Q1151" s="464"/>
      <c r="R1151" s="465"/>
      <c r="S1151" s="466" t="str">
        <f>IF(ISTEXT($V1151), "TBD", RANK(V1151,$V1146:$V1152))</f>
        <v>TBD</v>
      </c>
      <c r="T1151" s="467">
        <v>1.0</v>
      </c>
      <c r="U1151" s="468" t="b">
        <f>Rankings!$S1151=Rankings!$T1151</f>
        <v>0</v>
      </c>
      <c r="V1151" s="553" t="str">
        <f>IF(ISTEXT(Rankings!F1151), "TBD", (RANK($F1151,$F1146:$F1152) + IF(ISTEXT($H1151), 0, (RANK($H1151,$H1146:$H1152)/10)) + (RANK($G1151,$G1146:$G1152)/100)))</f>
        <v>TBD</v>
      </c>
      <c r="W1151" s="153"/>
      <c r="Y1151" s="443"/>
    </row>
    <row r="1152" ht="15.75" customHeight="1">
      <c r="A1152" s="189"/>
      <c r="B1152" s="189"/>
      <c r="C1152" s="189"/>
      <c r="D1152" s="563">
        <f t="shared" si="165"/>
        <v>46311</v>
      </c>
      <c r="E1152" s="230" t="str">
        <f>$Q$1</f>
        <v>Flocco</v>
      </c>
      <c r="F1152" s="474" t="str">
        <f>IFERROR(AVERAGE(Rankings!$K1152:$R1152), "TBD")</f>
        <v>TBD</v>
      </c>
      <c r="G1152" s="474" t="str">
        <f>IFERROR(_xlfn.STDEV.P(Rankings!$K1152:$R1152), "TBD")</f>
        <v>TBD</v>
      </c>
      <c r="H1152" s="474" t="str">
        <f>IFERROR(AVERAGE(Rankings!$K1152:$P1152, Rankings!$R1152), "TBD")</f>
        <v>TBD</v>
      </c>
      <c r="I1152" s="475"/>
      <c r="J1152" s="475"/>
      <c r="K1152" s="430"/>
      <c r="L1152" s="431"/>
      <c r="M1152" s="431"/>
      <c r="N1152" s="555"/>
      <c r="O1152" s="431"/>
      <c r="P1152" s="431"/>
      <c r="Q1152" s="464"/>
      <c r="R1152" s="465"/>
      <c r="S1152" s="466" t="str">
        <f>IF(ISTEXT($V1152), "TBD", RANK(V1152,$V1146:$V1152))</f>
        <v>TBD</v>
      </c>
      <c r="T1152" s="467">
        <v>1.0</v>
      </c>
      <c r="U1152" s="468" t="b">
        <f>Rankings!$S1152=Rankings!$T1152</f>
        <v>0</v>
      </c>
      <c r="V1152" s="553" t="str">
        <f>IF(ISTEXT(Rankings!F1152), "TBD", (RANK($F1152,$F1146:$F1152) + IF(ISTEXT($H1152), 0, (RANK($H1152,$H1146:$H1152)/10)) + (RANK($G1152,$G1146:$G1152)/100)))</f>
        <v>TBD</v>
      </c>
      <c r="W1152" s="208"/>
      <c r="Y1152" s="443"/>
    </row>
    <row r="1153" ht="15.75" customHeight="1">
      <c r="A1153" s="103">
        <v>46314.0</v>
      </c>
      <c r="B1153" s="453"/>
      <c r="C1153" s="454" t="str">
        <f t="array" ref="C1153">INDEX(Rankings!$E1153:$E1159, MATCH(1, (Rankings!$D1153:$D1159=$A1153)*(Rankings!$U1153:$U1159=TRUE()), 0))</f>
        <v>#N/A</v>
      </c>
      <c r="D1153" s="551">
        <f>A1153</f>
        <v>46314</v>
      </c>
      <c r="E1153" s="455" t="str">
        <f>$K$1</f>
        <v>Logan</v>
      </c>
      <c r="F1153" s="400" t="str">
        <f>IFERROR(AVERAGE(Rankings!$K1153:$R1153), "TBD")</f>
        <v>TBD</v>
      </c>
      <c r="G1153" s="400" t="str">
        <f>IFERROR(_xlfn.STDEV.P(Rankings!$K1153:$R1153), "TBD")</f>
        <v>TBD</v>
      </c>
      <c r="H1153" s="400" t="str">
        <f>IFERROR(AVERAGE(Rankings!$L1153:$R1153), "TBD")</f>
        <v>TBD</v>
      </c>
      <c r="I1153" s="421"/>
      <c r="J1153" s="421"/>
      <c r="K1153" s="422"/>
      <c r="L1153" s="423"/>
      <c r="M1153" s="423"/>
      <c r="N1153" s="555"/>
      <c r="O1153" s="423"/>
      <c r="P1153" s="423"/>
      <c r="Q1153" s="456"/>
      <c r="R1153" s="457"/>
      <c r="S1153" s="458" t="str">
        <f>IF(ISTEXT($V1153), "TBD", RANK(V1153,$V1153:$V1159))</f>
        <v>TBD</v>
      </c>
      <c r="T1153" s="576">
        <v>1.0</v>
      </c>
      <c r="U1153" s="460" t="b">
        <f>Rankings!$S1153=Rankings!$T1153</f>
        <v>0</v>
      </c>
      <c r="V1153" s="553" t="str">
        <f>IF(ISTEXT(Rankings!F1153), "TBD", (RANK($F1153,$F1153:$F1159) + IF(ISTEXT($H1153), 0, (RANK($H1153,$H1153:$H1159)/10)) + (RANK($G1153,$G1153:$G1159)/100)))</f>
        <v>TBD</v>
      </c>
      <c r="W1153" s="329"/>
      <c r="Y1153" s="443"/>
    </row>
    <row r="1154" ht="15.75" customHeight="1">
      <c r="A1154" s="134"/>
      <c r="B1154" s="134"/>
      <c r="C1154" s="134"/>
      <c r="D1154" s="554">
        <f>D1153</f>
        <v>46314</v>
      </c>
      <c r="E1154" s="463" t="str">
        <f>$L$1</f>
        <v>Parker</v>
      </c>
      <c r="F1154" s="404" t="str">
        <f>IFERROR(AVERAGE(Rankings!$K1154:$R1154), "TBD")</f>
        <v>TBD</v>
      </c>
      <c r="G1154" s="404" t="str">
        <f>IFERROR(_xlfn.STDEV.P(Rankings!$K1154:$R1154), "TBD")</f>
        <v>TBD</v>
      </c>
      <c r="H1154" s="404" t="str">
        <f>IFERROR(AVERAGE(Rankings!$K1154, Rankings!$M1154:$R1154), "TBD")</f>
        <v>TBD</v>
      </c>
      <c r="I1154" s="429"/>
      <c r="J1154" s="429"/>
      <c r="K1154" s="430"/>
      <c r="L1154" s="431"/>
      <c r="M1154" s="431"/>
      <c r="N1154" s="555"/>
      <c r="O1154" s="431"/>
      <c r="P1154" s="431"/>
      <c r="Q1154" s="464"/>
      <c r="R1154" s="465"/>
      <c r="S1154" s="466" t="str">
        <f>IF(ISTEXT($V1154), "TBD", RANK(V1154,$V1153:$V1159))</f>
        <v>TBD</v>
      </c>
      <c r="T1154" s="444">
        <v>1.0</v>
      </c>
      <c r="U1154" s="468" t="b">
        <f>Rankings!$S1154=Rankings!$T1154</f>
        <v>0</v>
      </c>
      <c r="V1154" s="553" t="str">
        <f>IF(ISTEXT(Rankings!F1154), "TBD", (RANK($F1154,$F1153:$F1159) + IF(ISTEXT($H1154), 0, (RANK($H1154,$H1153:$H1159)/10)) + (RANK($G1154,$G1153:$G1159)/100)))</f>
        <v>TBD</v>
      </c>
      <c r="W1154" s="153"/>
      <c r="Y1154" s="443"/>
    </row>
    <row r="1155" ht="15.75" customHeight="1">
      <c r="A1155" s="134"/>
      <c r="B1155" s="134"/>
      <c r="C1155" s="134"/>
      <c r="D1155" s="556">
        <f>D1153</f>
        <v>46314</v>
      </c>
      <c r="E1155" s="469" t="str">
        <f>$M$1</f>
        <v>Giacomo</v>
      </c>
      <c r="F1155" s="408" t="str">
        <f>IFERROR(AVERAGE(Rankings!$K1155:$R1155), "TBD")</f>
        <v>TBD</v>
      </c>
      <c r="G1155" s="408" t="str">
        <f>IFERROR(_xlfn.STDEV.P(Rankings!$K1155:$R1155), "TBD")</f>
        <v>TBD</v>
      </c>
      <c r="H1155" s="408" t="str">
        <f>IFERROR(AVERAGE(Rankings!$K1155:$L1155, Rankings!$N1155:$R1155), "TBD")</f>
        <v>TBD</v>
      </c>
      <c r="I1155" s="437"/>
      <c r="J1155" s="437"/>
      <c r="K1155" s="430"/>
      <c r="L1155" s="431"/>
      <c r="M1155" s="431"/>
      <c r="N1155" s="555"/>
      <c r="O1155" s="431"/>
      <c r="P1155" s="431"/>
      <c r="Q1155" s="464"/>
      <c r="R1155" s="465"/>
      <c r="S1155" s="466" t="str">
        <f>IF(ISTEXT($V1155), "TBD", RANK(V1155,$V1153:$V1159))</f>
        <v>TBD</v>
      </c>
      <c r="T1155" s="467">
        <v>1.0</v>
      </c>
      <c r="U1155" s="468" t="b">
        <f>Rankings!$S1155=Rankings!$T1155</f>
        <v>0</v>
      </c>
      <c r="V1155" s="553" t="str">
        <f>IF(ISTEXT(Rankings!F1155), "TBD", (RANK($F1155,$F1153:$F1159) + IF(ISTEXT($H1155), 0, (RANK($H1155,$H1153:$H1159)/10)) + (RANK($G1155,$G1153:$G1159)/100)))</f>
        <v>TBD</v>
      </c>
      <c r="W1155" s="153"/>
      <c r="Y1155" s="443"/>
    </row>
    <row r="1156" ht="15.75" customHeight="1">
      <c r="A1156" s="134"/>
      <c r="B1156" s="134"/>
      <c r="C1156" s="134"/>
      <c r="D1156" s="557">
        <f>D1153</f>
        <v>46314</v>
      </c>
      <c r="E1156" s="470" t="str">
        <f>$N$1</f>
        <v>Rosey</v>
      </c>
      <c r="F1156" s="411" t="str">
        <f>IFERROR(AVERAGE(Rankings!$K1156:$R1156), "TBD")</f>
        <v>TBD</v>
      </c>
      <c r="G1156" s="411" t="str">
        <f>IFERROR(_xlfn.STDEV.P(Rankings!$K1156:$R1156), "TBD")</f>
        <v>TBD</v>
      </c>
      <c r="H1156" s="411" t="str">
        <f>IFERROR(AVERAGE(Rankings!$K1156:$M1156, Rankings!$O1156:$R1156), "TBD")</f>
        <v>TBD</v>
      </c>
      <c r="I1156" s="438"/>
      <c r="J1156" s="438"/>
      <c r="K1156" s="430"/>
      <c r="L1156" s="566"/>
      <c r="M1156" s="431"/>
      <c r="N1156" s="555"/>
      <c r="O1156" s="431" t="s">
        <v>1697</v>
      </c>
      <c r="P1156" s="431" t="s">
        <v>1698</v>
      </c>
      <c r="Q1156" s="464" t="s">
        <v>1766</v>
      </c>
      <c r="R1156" s="465"/>
      <c r="S1156" s="466" t="str">
        <f>IF(ISTEXT($V1156), "TBD", RANK(V1156,$V1153:$V1159))</f>
        <v>TBD</v>
      </c>
      <c r="T1156" s="467">
        <v>1.0</v>
      </c>
      <c r="U1156" s="468" t="b">
        <f>Rankings!$S1156=Rankings!$T1156</f>
        <v>0</v>
      </c>
      <c r="V1156" s="553" t="str">
        <f>IF(ISTEXT(Rankings!F1156), "TBD", (RANK($F1156,$F1153:$F1159) + IF(ISTEXT($H1156), 0, (RANK($H1156,$H1153:$H1159)/10)) + (RANK($G1156,$G1153:$G1159)/100)))</f>
        <v>TBD</v>
      </c>
      <c r="W1156" s="153"/>
      <c r="Y1156" s="443"/>
    </row>
    <row r="1157" ht="15.75" customHeight="1">
      <c r="A1157" s="134"/>
      <c r="B1157" s="134"/>
      <c r="C1157" s="134"/>
      <c r="D1157" s="561">
        <f t="shared" ref="D1157:D1159" si="166">D1153</f>
        <v>46314</v>
      </c>
      <c r="E1157" s="471" t="str">
        <f>$O$1</f>
        <v>TTAC</v>
      </c>
      <c r="F1157" s="414" t="str">
        <f>IFERROR(AVERAGE(Rankings!$K1157:$R1157), "TBD")</f>
        <v>TBD</v>
      </c>
      <c r="G1157" s="414" t="str">
        <f>IFERROR(_xlfn.STDEV.P(Rankings!$K1157:$R1157), "TBD")</f>
        <v>TBD</v>
      </c>
      <c r="H1157" s="414" t="str">
        <f>IFERROR(AVERAGE(Rankings!$K1157:$N1157, Rankings!$P1157:$R1157), "TBD")</f>
        <v>TBD</v>
      </c>
      <c r="I1157" s="439"/>
      <c r="J1157" s="439"/>
      <c r="K1157" s="430"/>
      <c r="L1157" s="431"/>
      <c r="M1157" s="431"/>
      <c r="N1157" s="555"/>
      <c r="O1157" s="431"/>
      <c r="P1157" s="431"/>
      <c r="Q1157" s="464"/>
      <c r="R1157" s="465"/>
      <c r="S1157" s="466" t="str">
        <f>IF(ISTEXT($V1157), "TBD", RANK(V1157,$V1153:$V1159))</f>
        <v>TBD</v>
      </c>
      <c r="T1157" s="467">
        <v>1.0</v>
      </c>
      <c r="U1157" s="468" t="b">
        <f>Rankings!$S1157=Rankings!$T1157</f>
        <v>0</v>
      </c>
      <c r="V1157" s="553" t="str">
        <f>IF(ISTEXT(Rankings!F1157), "TBD", (RANK($F1157,$F1153:$F1159) + IF(ISTEXT($H1157), 0, (RANK($H1157,$H1153:$H1159)/10)) + (RANK($G1157,$G1153:$G1159)/100)))</f>
        <v>TBD</v>
      </c>
      <c r="W1157" s="153"/>
      <c r="Y1157" s="443"/>
    </row>
    <row r="1158" ht="15.75" customHeight="1">
      <c r="A1158" s="134"/>
      <c r="B1158" s="134"/>
      <c r="C1158" s="134"/>
      <c r="D1158" s="562">
        <f t="shared" si="166"/>
        <v>46314</v>
      </c>
      <c r="E1158" s="472" t="str">
        <f>$P$1</f>
        <v>Weston</v>
      </c>
      <c r="F1158" s="418" t="str">
        <f>IFERROR(AVERAGE(Rankings!$K1158:$R1158), "TBD")</f>
        <v>TBD</v>
      </c>
      <c r="G1158" s="418" t="str">
        <f>IFERROR(_xlfn.STDEV.P(Rankings!$K1158:$R1158), "TBD")</f>
        <v>TBD</v>
      </c>
      <c r="H1158" s="418" t="str">
        <f>IFERROR(AVERAGE(Rankings!$K1158:$O1158, Rankings!$Q1158:$R1158), "TBD")</f>
        <v>TBD</v>
      </c>
      <c r="I1158" s="440"/>
      <c r="J1158" s="440"/>
      <c r="K1158" s="430"/>
      <c r="L1158" s="431"/>
      <c r="M1158" s="431"/>
      <c r="N1158" s="555"/>
      <c r="O1158" s="431"/>
      <c r="P1158" s="431"/>
      <c r="Q1158" s="464"/>
      <c r="R1158" s="465"/>
      <c r="S1158" s="466" t="str">
        <f>IF(ISTEXT($V1158), "TBD", RANK(V1158,$V1153:$V1159))</f>
        <v>TBD</v>
      </c>
      <c r="T1158" s="467">
        <v>1.0</v>
      </c>
      <c r="U1158" s="468" t="b">
        <f>Rankings!$S1158=Rankings!$T1158</f>
        <v>0</v>
      </c>
      <c r="V1158" s="553" t="str">
        <f>IF(ISTEXT(Rankings!F1158), "TBD", (RANK($F1158,$F1153:$F1159) + IF(ISTEXT($H1158), 0, (RANK($H1158,$H1153:$H1159)/10)) + (RANK($G1158,$G1153:$G1159)/100)))</f>
        <v>TBD</v>
      </c>
      <c r="W1158" s="153"/>
      <c r="Y1158" s="443"/>
    </row>
    <row r="1159" ht="15.75" customHeight="1">
      <c r="A1159" s="189"/>
      <c r="B1159" s="189"/>
      <c r="C1159" s="189"/>
      <c r="D1159" s="563">
        <f t="shared" si="166"/>
        <v>46314</v>
      </c>
      <c r="E1159" s="230" t="str">
        <f>$Q$1</f>
        <v>Flocco</v>
      </c>
      <c r="F1159" s="474" t="str">
        <f>IFERROR(AVERAGE(Rankings!$K1159:$R1159), "TBD")</f>
        <v>TBD</v>
      </c>
      <c r="G1159" s="474" t="str">
        <f>IFERROR(_xlfn.STDEV.P(Rankings!$K1159:$R1159), "TBD")</f>
        <v>TBD</v>
      </c>
      <c r="H1159" s="474" t="str">
        <f>IFERROR(AVERAGE(Rankings!$K1159:$P1159, Rankings!$R1159), "TBD")</f>
        <v>TBD</v>
      </c>
      <c r="I1159" s="475"/>
      <c r="J1159" s="475"/>
      <c r="K1159" s="430"/>
      <c r="L1159" s="431"/>
      <c r="M1159" s="431"/>
      <c r="N1159" s="555"/>
      <c r="O1159" s="431"/>
      <c r="P1159" s="431"/>
      <c r="Q1159" s="464"/>
      <c r="R1159" s="465"/>
      <c r="S1159" s="466" t="str">
        <f>IF(ISTEXT($V1159), "TBD", RANK(V1159,$V1153:$V1159))</f>
        <v>TBD</v>
      </c>
      <c r="T1159" s="467">
        <v>1.0</v>
      </c>
      <c r="U1159" s="468" t="b">
        <f>Rankings!$S1159=Rankings!$T1159</f>
        <v>0</v>
      </c>
      <c r="V1159" s="553" t="str">
        <f>IF(ISTEXT(Rankings!F1159), "TBD", (RANK($F1159,$F1153:$F1159) + IF(ISTEXT($H1159), 0, (RANK($H1159,$H1153:$H1159)/10)) + (RANK($G1159,$G1153:$G1159)/100)))</f>
        <v>TBD</v>
      </c>
      <c r="W1159" s="208"/>
      <c r="Y1159" s="443"/>
    </row>
    <row r="1160" ht="15.75" customHeight="1">
      <c r="A1160" s="103">
        <v>46318.0</v>
      </c>
      <c r="B1160" s="453"/>
      <c r="C1160" s="454" t="str">
        <f t="array" ref="C1160">INDEX(Rankings!$E1160:$E1166, MATCH(1, (Rankings!$D1160:$D1166=$A1160)*(Rankings!$U1160:$U1166=TRUE()), 0))</f>
        <v>#N/A</v>
      </c>
      <c r="D1160" s="551">
        <f>A1160</f>
        <v>46318</v>
      </c>
      <c r="E1160" s="455" t="str">
        <f>$K$1</f>
        <v>Logan</v>
      </c>
      <c r="F1160" s="400" t="str">
        <f>IFERROR(AVERAGE(Rankings!$K1160:$R1160), "TBD")</f>
        <v>TBD</v>
      </c>
      <c r="G1160" s="400" t="str">
        <f>IFERROR(_xlfn.STDEV.P(Rankings!$K1160:$R1160), "TBD")</f>
        <v>TBD</v>
      </c>
      <c r="H1160" s="400" t="str">
        <f>IFERROR(AVERAGE(Rankings!$L1160:$R1160), "TBD")</f>
        <v>TBD</v>
      </c>
      <c r="I1160" s="421"/>
      <c r="J1160" s="421"/>
      <c r="K1160" s="422"/>
      <c r="L1160" s="423"/>
      <c r="M1160" s="423"/>
      <c r="N1160" s="555"/>
      <c r="O1160" s="423"/>
      <c r="P1160" s="423"/>
      <c r="Q1160" s="456"/>
      <c r="R1160" s="457"/>
      <c r="S1160" s="458" t="str">
        <f>IF(ISTEXT($V1160), "TBD", RANK(V1160,$V1160:$V1166))</f>
        <v>TBD</v>
      </c>
      <c r="T1160" s="576">
        <v>1.0</v>
      </c>
      <c r="U1160" s="460" t="b">
        <f>Rankings!$S1160=Rankings!$T1160</f>
        <v>0</v>
      </c>
      <c r="V1160" s="553" t="str">
        <f>IF(ISTEXT(Rankings!F1160), "TBD", (RANK($F1160,$F1160:$F1166) + IF(ISTEXT($H1160), 0, (RANK($H1160,$H1160:$H1166)/10)) + (RANK($G1160,$G1160:$G1166)/100)))</f>
        <v>TBD</v>
      </c>
      <c r="W1160" s="329"/>
      <c r="Y1160" s="443"/>
    </row>
    <row r="1161" ht="15.75" customHeight="1">
      <c r="A1161" s="134"/>
      <c r="B1161" s="134"/>
      <c r="C1161" s="134"/>
      <c r="D1161" s="554">
        <f>D1160</f>
        <v>46318</v>
      </c>
      <c r="E1161" s="463" t="str">
        <f>$L$1</f>
        <v>Parker</v>
      </c>
      <c r="F1161" s="404" t="str">
        <f>IFERROR(AVERAGE(Rankings!$K1161:$R1161), "TBD")</f>
        <v>TBD</v>
      </c>
      <c r="G1161" s="404" t="str">
        <f>IFERROR(_xlfn.STDEV.P(Rankings!$K1161:$R1161), "TBD")</f>
        <v>TBD</v>
      </c>
      <c r="H1161" s="404" t="str">
        <f>IFERROR(AVERAGE(Rankings!$K1161, Rankings!$M1161:$R1161), "TBD")</f>
        <v>TBD</v>
      </c>
      <c r="I1161" s="429"/>
      <c r="J1161" s="429"/>
      <c r="K1161" s="430"/>
      <c r="L1161" s="431"/>
      <c r="M1161" s="431"/>
      <c r="N1161" s="555"/>
      <c r="O1161" s="431"/>
      <c r="P1161" s="431"/>
      <c r="Q1161" s="464"/>
      <c r="R1161" s="465"/>
      <c r="S1161" s="466" t="str">
        <f>IF(ISTEXT($V1161), "TBD", RANK(V1161,$V1160:$V1166))</f>
        <v>TBD</v>
      </c>
      <c r="T1161" s="444">
        <v>1.0</v>
      </c>
      <c r="U1161" s="468" t="b">
        <f>Rankings!$S1161=Rankings!$T1161</f>
        <v>0</v>
      </c>
      <c r="V1161" s="553" t="str">
        <f>IF(ISTEXT(Rankings!F1161), "TBD", (RANK($F1161,$F1160:$F1166) + IF(ISTEXT($H1161), 0, (RANK($H1161,$H1160:$H1166)/10)) + (RANK($G1161,$G1160:$G1166)/100)))</f>
        <v>TBD</v>
      </c>
      <c r="W1161" s="153"/>
      <c r="Y1161" s="443"/>
    </row>
    <row r="1162" ht="15.75" customHeight="1">
      <c r="A1162" s="134"/>
      <c r="B1162" s="134"/>
      <c r="C1162" s="134"/>
      <c r="D1162" s="556">
        <f>D1160</f>
        <v>46318</v>
      </c>
      <c r="E1162" s="469" t="str">
        <f>$M$1</f>
        <v>Giacomo</v>
      </c>
      <c r="F1162" s="408" t="str">
        <f>IFERROR(AVERAGE(Rankings!$K1162:$R1162), "TBD")</f>
        <v>TBD</v>
      </c>
      <c r="G1162" s="408" t="str">
        <f>IFERROR(_xlfn.STDEV.P(Rankings!$K1162:$R1162), "TBD")</f>
        <v>TBD</v>
      </c>
      <c r="H1162" s="408" t="str">
        <f>IFERROR(AVERAGE(Rankings!$K1162:$L1162, Rankings!$N1162:$R1162), "TBD")</f>
        <v>TBD</v>
      </c>
      <c r="I1162" s="437"/>
      <c r="J1162" s="437"/>
      <c r="K1162" s="430"/>
      <c r="L1162" s="431"/>
      <c r="M1162" s="431"/>
      <c r="N1162" s="555"/>
      <c r="O1162" s="431"/>
      <c r="P1162" s="431"/>
      <c r="Q1162" s="464"/>
      <c r="R1162" s="465"/>
      <c r="S1162" s="466" t="str">
        <f>IF(ISTEXT($V1162), "TBD", RANK(V1162,$V1160:$V1166))</f>
        <v>TBD</v>
      </c>
      <c r="T1162" s="467">
        <v>1.0</v>
      </c>
      <c r="U1162" s="468" t="b">
        <f>Rankings!$S1162=Rankings!$T1162</f>
        <v>0</v>
      </c>
      <c r="V1162" s="553" t="str">
        <f>IF(ISTEXT(Rankings!F1162), "TBD", (RANK($F1162,$F1160:$F1166) + IF(ISTEXT($H1162), 0, (RANK($H1162,$H1160:$H1166)/10)) + (RANK($G1162,$G1160:$G1166)/100)))</f>
        <v>TBD</v>
      </c>
      <c r="W1162" s="153"/>
      <c r="Y1162" s="443"/>
    </row>
    <row r="1163" ht="15.75" customHeight="1">
      <c r="A1163" s="134"/>
      <c r="B1163" s="134"/>
      <c r="C1163" s="134"/>
      <c r="D1163" s="557">
        <f>D1160</f>
        <v>46318</v>
      </c>
      <c r="E1163" s="470" t="str">
        <f>$N$1</f>
        <v>Rosey</v>
      </c>
      <c r="F1163" s="411" t="str">
        <f>IFERROR(AVERAGE(Rankings!$K1163:$R1163), "TBD")</f>
        <v>TBD</v>
      </c>
      <c r="G1163" s="411" t="str">
        <f>IFERROR(_xlfn.STDEV.P(Rankings!$K1163:$R1163), "TBD")</f>
        <v>TBD</v>
      </c>
      <c r="H1163" s="411" t="str">
        <f>IFERROR(AVERAGE(Rankings!$K1163:$M1163, Rankings!$O1163:$R1163), "TBD")</f>
        <v>TBD</v>
      </c>
      <c r="I1163" s="438"/>
      <c r="J1163" s="438"/>
      <c r="K1163" s="430"/>
      <c r="L1163" s="566"/>
      <c r="M1163" s="431"/>
      <c r="N1163" s="555"/>
      <c r="O1163" s="431" t="s">
        <v>1697</v>
      </c>
      <c r="P1163" s="431" t="s">
        <v>1698</v>
      </c>
      <c r="Q1163" s="464" t="s">
        <v>1766</v>
      </c>
      <c r="R1163" s="465"/>
      <c r="S1163" s="466" t="str">
        <f>IF(ISTEXT($V1163), "TBD", RANK(V1163,$V1160:$V1166))</f>
        <v>TBD</v>
      </c>
      <c r="T1163" s="467">
        <v>1.0</v>
      </c>
      <c r="U1163" s="468" t="b">
        <f>Rankings!$S1163=Rankings!$T1163</f>
        <v>0</v>
      </c>
      <c r="V1163" s="553" t="str">
        <f>IF(ISTEXT(Rankings!F1163), "TBD", (RANK($F1163,$F1160:$F1166) + IF(ISTEXT($H1163), 0, (RANK($H1163,$H1160:$H1166)/10)) + (RANK($G1163,$G1160:$G1166)/100)))</f>
        <v>TBD</v>
      </c>
      <c r="W1163" s="153"/>
      <c r="Y1163" s="443"/>
    </row>
    <row r="1164" ht="15.75" customHeight="1">
      <c r="A1164" s="134"/>
      <c r="B1164" s="134"/>
      <c r="C1164" s="134"/>
      <c r="D1164" s="561">
        <f t="shared" ref="D1164:D1166" si="167">D1160</f>
        <v>46318</v>
      </c>
      <c r="E1164" s="471" t="str">
        <f>$O$1</f>
        <v>TTAC</v>
      </c>
      <c r="F1164" s="414" t="str">
        <f>IFERROR(AVERAGE(Rankings!$K1164:$R1164), "TBD")</f>
        <v>TBD</v>
      </c>
      <c r="G1164" s="414" t="str">
        <f>IFERROR(_xlfn.STDEV.P(Rankings!$K1164:$R1164), "TBD")</f>
        <v>TBD</v>
      </c>
      <c r="H1164" s="414" t="str">
        <f>IFERROR(AVERAGE(Rankings!$K1164:$N1164, Rankings!$P1164:$R1164), "TBD")</f>
        <v>TBD</v>
      </c>
      <c r="I1164" s="439"/>
      <c r="J1164" s="439"/>
      <c r="K1164" s="430"/>
      <c r="L1164" s="431"/>
      <c r="M1164" s="431"/>
      <c r="N1164" s="555"/>
      <c r="O1164" s="431"/>
      <c r="P1164" s="431"/>
      <c r="Q1164" s="464"/>
      <c r="R1164" s="465"/>
      <c r="S1164" s="466" t="str">
        <f>IF(ISTEXT($V1164), "TBD", RANK(V1164,$V1160:$V1166))</f>
        <v>TBD</v>
      </c>
      <c r="T1164" s="467">
        <v>1.0</v>
      </c>
      <c r="U1164" s="468" t="b">
        <f>Rankings!$S1164=Rankings!$T1164</f>
        <v>0</v>
      </c>
      <c r="V1164" s="553" t="str">
        <f>IF(ISTEXT(Rankings!F1164), "TBD", (RANK($F1164,$F1160:$F1166) + IF(ISTEXT($H1164), 0, (RANK($H1164,$H1160:$H1166)/10)) + (RANK($G1164,$G1160:$G1166)/100)))</f>
        <v>TBD</v>
      </c>
      <c r="W1164" s="153"/>
      <c r="Y1164" s="443"/>
    </row>
    <row r="1165" ht="15.75" customHeight="1">
      <c r="A1165" s="134"/>
      <c r="B1165" s="134"/>
      <c r="C1165" s="134"/>
      <c r="D1165" s="562">
        <f t="shared" si="167"/>
        <v>46318</v>
      </c>
      <c r="E1165" s="472" t="str">
        <f>$P$1</f>
        <v>Weston</v>
      </c>
      <c r="F1165" s="418" t="str">
        <f>IFERROR(AVERAGE(Rankings!$K1165:$R1165), "TBD")</f>
        <v>TBD</v>
      </c>
      <c r="G1165" s="418" t="str">
        <f>IFERROR(_xlfn.STDEV.P(Rankings!$K1165:$R1165), "TBD")</f>
        <v>TBD</v>
      </c>
      <c r="H1165" s="418" t="str">
        <f>IFERROR(AVERAGE(Rankings!$K1165:$O1165, Rankings!$Q1165:$R1165), "TBD")</f>
        <v>TBD</v>
      </c>
      <c r="I1165" s="440"/>
      <c r="J1165" s="440"/>
      <c r="K1165" s="430"/>
      <c r="L1165" s="431"/>
      <c r="M1165" s="431"/>
      <c r="N1165" s="555"/>
      <c r="O1165" s="431"/>
      <c r="P1165" s="431"/>
      <c r="Q1165" s="464"/>
      <c r="R1165" s="465"/>
      <c r="S1165" s="466" t="str">
        <f>IF(ISTEXT($V1165), "TBD", RANK(V1165,$V1160:$V1166))</f>
        <v>TBD</v>
      </c>
      <c r="T1165" s="467">
        <v>1.0</v>
      </c>
      <c r="U1165" s="468" t="b">
        <f>Rankings!$S1165=Rankings!$T1165</f>
        <v>0</v>
      </c>
      <c r="V1165" s="553" t="str">
        <f>IF(ISTEXT(Rankings!F1165), "TBD", (RANK($F1165,$F1160:$F1166) + IF(ISTEXT($H1165), 0, (RANK($H1165,$H1160:$H1166)/10)) + (RANK($G1165,$G1160:$G1166)/100)))</f>
        <v>TBD</v>
      </c>
      <c r="W1165" s="153"/>
      <c r="Y1165" s="443"/>
    </row>
    <row r="1166" ht="15.75" customHeight="1">
      <c r="A1166" s="189"/>
      <c r="B1166" s="189"/>
      <c r="C1166" s="189"/>
      <c r="D1166" s="563">
        <f t="shared" si="167"/>
        <v>46318</v>
      </c>
      <c r="E1166" s="230" t="str">
        <f>$Q$1</f>
        <v>Flocco</v>
      </c>
      <c r="F1166" s="474" t="str">
        <f>IFERROR(AVERAGE(Rankings!$K1166:$R1166), "TBD")</f>
        <v>TBD</v>
      </c>
      <c r="G1166" s="474" t="str">
        <f>IFERROR(_xlfn.STDEV.P(Rankings!$K1166:$R1166), "TBD")</f>
        <v>TBD</v>
      </c>
      <c r="H1166" s="474" t="str">
        <f>IFERROR(AVERAGE(Rankings!$K1166:$P1166, Rankings!$R1166), "TBD")</f>
        <v>TBD</v>
      </c>
      <c r="I1166" s="475"/>
      <c r="J1166" s="475"/>
      <c r="K1166" s="430"/>
      <c r="L1166" s="431"/>
      <c r="M1166" s="431"/>
      <c r="N1166" s="555"/>
      <c r="O1166" s="431"/>
      <c r="P1166" s="431"/>
      <c r="Q1166" s="464"/>
      <c r="R1166" s="465"/>
      <c r="S1166" s="466" t="str">
        <f>IF(ISTEXT($V1166), "TBD", RANK(V1166,$V1160:$V1166))</f>
        <v>TBD</v>
      </c>
      <c r="T1166" s="467">
        <v>1.0</v>
      </c>
      <c r="U1166" s="468" t="b">
        <f>Rankings!$S1166=Rankings!$T1166</f>
        <v>0</v>
      </c>
      <c r="V1166" s="553" t="str">
        <f>IF(ISTEXT(Rankings!F1166), "TBD", (RANK($F1166,$F1160:$F1166) + IF(ISTEXT($H1166), 0, (RANK($H1166,$H1160:$H1166)/10)) + (RANK($G1166,$G1160:$G1166)/100)))</f>
        <v>TBD</v>
      </c>
      <c r="W1166" s="208"/>
      <c r="Y1166" s="443"/>
    </row>
    <row r="1167" ht="15.75" customHeight="1">
      <c r="A1167" s="103">
        <v>46321.0</v>
      </c>
      <c r="B1167" s="453"/>
      <c r="C1167" s="454" t="str">
        <f t="array" ref="C1167">INDEX(Rankings!$E1167:$E1173, MATCH(1, (Rankings!$D1167:$D1173=$A1167)*(Rankings!$U1167:$U1173=TRUE()), 0))</f>
        <v>#N/A</v>
      </c>
      <c r="D1167" s="551">
        <f>A1167</f>
        <v>46321</v>
      </c>
      <c r="E1167" s="455" t="str">
        <f>$K$1</f>
        <v>Logan</v>
      </c>
      <c r="F1167" s="400" t="str">
        <f>IFERROR(AVERAGE(Rankings!$K1167:$R1167), "TBD")</f>
        <v>TBD</v>
      </c>
      <c r="G1167" s="400" t="str">
        <f>IFERROR(_xlfn.STDEV.P(Rankings!$K1167:$R1167), "TBD")</f>
        <v>TBD</v>
      </c>
      <c r="H1167" s="400" t="str">
        <f>IFERROR(AVERAGE(Rankings!$L1167:$R1167), "TBD")</f>
        <v>TBD</v>
      </c>
      <c r="I1167" s="421"/>
      <c r="J1167" s="421"/>
      <c r="K1167" s="422"/>
      <c r="L1167" s="423"/>
      <c r="M1167" s="423"/>
      <c r="N1167" s="555"/>
      <c r="O1167" s="423"/>
      <c r="P1167" s="423"/>
      <c r="Q1167" s="456"/>
      <c r="R1167" s="457"/>
      <c r="S1167" s="458" t="str">
        <f>IF(ISTEXT($V1167), "TBD", RANK(V1167,$V1167:$V1173))</f>
        <v>TBD</v>
      </c>
      <c r="T1167" s="576">
        <v>1.0</v>
      </c>
      <c r="U1167" s="460" t="b">
        <f>Rankings!$S1167=Rankings!$T1167</f>
        <v>0</v>
      </c>
      <c r="V1167" s="553" t="str">
        <f>IF(ISTEXT(Rankings!F1167), "TBD", (RANK($F1167,$F1167:$F1173) + IF(ISTEXT($H1167), 0, (RANK($H1167,$H1167:$H1173)/10)) + (RANK($G1167,$G1167:$G1173)/100)))</f>
        <v>TBD</v>
      </c>
      <c r="W1167" s="329"/>
      <c r="Y1167" s="443"/>
    </row>
    <row r="1168" ht="15.75" customHeight="1">
      <c r="A1168" s="134"/>
      <c r="B1168" s="134"/>
      <c r="C1168" s="134"/>
      <c r="D1168" s="554">
        <f>D1167</f>
        <v>46321</v>
      </c>
      <c r="E1168" s="463" t="str">
        <f>$L$1</f>
        <v>Parker</v>
      </c>
      <c r="F1168" s="404" t="str">
        <f>IFERROR(AVERAGE(Rankings!$K1168:$R1168), "TBD")</f>
        <v>TBD</v>
      </c>
      <c r="G1168" s="404" t="str">
        <f>IFERROR(_xlfn.STDEV.P(Rankings!$K1168:$R1168), "TBD")</f>
        <v>TBD</v>
      </c>
      <c r="H1168" s="404" t="str">
        <f>IFERROR(AVERAGE(Rankings!$K1168, Rankings!$M1168:$R1168), "TBD")</f>
        <v>TBD</v>
      </c>
      <c r="I1168" s="429"/>
      <c r="J1168" s="429"/>
      <c r="K1168" s="430"/>
      <c r="L1168" s="431"/>
      <c r="M1168" s="431"/>
      <c r="N1168" s="555"/>
      <c r="O1168" s="431"/>
      <c r="P1168" s="431"/>
      <c r="Q1168" s="464"/>
      <c r="R1168" s="465"/>
      <c r="S1168" s="466" t="str">
        <f>IF(ISTEXT($V1168), "TBD", RANK(V1168,$V1167:$V1173))</f>
        <v>TBD</v>
      </c>
      <c r="T1168" s="444">
        <v>1.0</v>
      </c>
      <c r="U1168" s="468" t="b">
        <f>Rankings!$S1168=Rankings!$T1168</f>
        <v>0</v>
      </c>
      <c r="V1168" s="553" t="str">
        <f>IF(ISTEXT(Rankings!F1168), "TBD", (RANK($F1168,$F1167:$F1173) + IF(ISTEXT($H1168), 0, (RANK($H1168,$H1167:$H1173)/10)) + (RANK($G1168,$G1167:$G1173)/100)))</f>
        <v>TBD</v>
      </c>
      <c r="W1168" s="153"/>
      <c r="Y1168" s="443"/>
    </row>
    <row r="1169" ht="15.75" customHeight="1">
      <c r="A1169" s="134"/>
      <c r="B1169" s="134"/>
      <c r="C1169" s="134"/>
      <c r="D1169" s="556">
        <f>D1167</f>
        <v>46321</v>
      </c>
      <c r="E1169" s="469" t="str">
        <f>$M$1</f>
        <v>Giacomo</v>
      </c>
      <c r="F1169" s="408" t="str">
        <f>IFERROR(AVERAGE(Rankings!$K1169:$R1169), "TBD")</f>
        <v>TBD</v>
      </c>
      <c r="G1169" s="408" t="str">
        <f>IFERROR(_xlfn.STDEV.P(Rankings!$K1169:$R1169), "TBD")</f>
        <v>TBD</v>
      </c>
      <c r="H1169" s="408" t="str">
        <f>IFERROR(AVERAGE(Rankings!$K1169:$L1169, Rankings!$N1169:$R1169), "TBD")</f>
        <v>TBD</v>
      </c>
      <c r="I1169" s="437"/>
      <c r="J1169" s="437"/>
      <c r="K1169" s="430"/>
      <c r="L1169" s="431"/>
      <c r="M1169" s="431"/>
      <c r="N1169" s="555"/>
      <c r="O1169" s="431"/>
      <c r="P1169" s="431"/>
      <c r="Q1169" s="464"/>
      <c r="R1169" s="465"/>
      <c r="S1169" s="466" t="str">
        <f>IF(ISTEXT($V1169), "TBD", RANK(V1169,$V1167:$V1173))</f>
        <v>TBD</v>
      </c>
      <c r="T1169" s="467">
        <v>1.0</v>
      </c>
      <c r="U1169" s="468" t="b">
        <f>Rankings!$S1169=Rankings!$T1169</f>
        <v>0</v>
      </c>
      <c r="V1169" s="553" t="str">
        <f>IF(ISTEXT(Rankings!F1169), "TBD", (RANK($F1169,$F1167:$F1173) + IF(ISTEXT($H1169), 0, (RANK($H1169,$H1167:$H1173)/10)) + (RANK($G1169,$G1167:$G1173)/100)))</f>
        <v>TBD</v>
      </c>
      <c r="W1169" s="153"/>
      <c r="Y1169" s="443"/>
    </row>
    <row r="1170" ht="15.75" customHeight="1">
      <c r="A1170" s="134"/>
      <c r="B1170" s="134"/>
      <c r="C1170" s="134"/>
      <c r="D1170" s="557">
        <f>D1167</f>
        <v>46321</v>
      </c>
      <c r="E1170" s="470" t="str">
        <f>$N$1</f>
        <v>Rosey</v>
      </c>
      <c r="F1170" s="411" t="str">
        <f>IFERROR(AVERAGE(Rankings!$K1170:$R1170), "TBD")</f>
        <v>TBD</v>
      </c>
      <c r="G1170" s="411" t="str">
        <f>IFERROR(_xlfn.STDEV.P(Rankings!$K1170:$R1170), "TBD")</f>
        <v>TBD</v>
      </c>
      <c r="H1170" s="411" t="str">
        <f>IFERROR(AVERAGE(Rankings!$K1170:$M1170, Rankings!$O1170:$R1170), "TBD")</f>
        <v>TBD</v>
      </c>
      <c r="I1170" s="438"/>
      <c r="J1170" s="438"/>
      <c r="K1170" s="430"/>
      <c r="L1170" s="566"/>
      <c r="M1170" s="431"/>
      <c r="N1170" s="555"/>
      <c r="O1170" s="431" t="s">
        <v>1697</v>
      </c>
      <c r="P1170" s="431" t="s">
        <v>1698</v>
      </c>
      <c r="Q1170" s="464" t="s">
        <v>1766</v>
      </c>
      <c r="R1170" s="465"/>
      <c r="S1170" s="466" t="str">
        <f>IF(ISTEXT($V1170), "TBD", RANK(V1170,$V1167:$V1173))</f>
        <v>TBD</v>
      </c>
      <c r="T1170" s="467">
        <v>1.0</v>
      </c>
      <c r="U1170" s="468" t="b">
        <f>Rankings!$S1170=Rankings!$T1170</f>
        <v>0</v>
      </c>
      <c r="V1170" s="553" t="str">
        <f>IF(ISTEXT(Rankings!F1170), "TBD", (RANK($F1170,$F1167:$F1173) + IF(ISTEXT($H1170), 0, (RANK($H1170,$H1167:$H1173)/10)) + (RANK($G1170,$G1167:$G1173)/100)))</f>
        <v>TBD</v>
      </c>
      <c r="W1170" s="153"/>
      <c r="Y1170" s="443"/>
    </row>
    <row r="1171" ht="15.75" customHeight="1">
      <c r="A1171" s="134"/>
      <c r="B1171" s="134"/>
      <c r="C1171" s="134"/>
      <c r="D1171" s="561">
        <f t="shared" ref="D1171:D1173" si="168">D1167</f>
        <v>46321</v>
      </c>
      <c r="E1171" s="471" t="str">
        <f>$O$1</f>
        <v>TTAC</v>
      </c>
      <c r="F1171" s="414" t="str">
        <f>IFERROR(AVERAGE(Rankings!$K1171:$R1171), "TBD")</f>
        <v>TBD</v>
      </c>
      <c r="G1171" s="414" t="str">
        <f>IFERROR(_xlfn.STDEV.P(Rankings!$K1171:$R1171), "TBD")</f>
        <v>TBD</v>
      </c>
      <c r="H1171" s="414" t="str">
        <f>IFERROR(AVERAGE(Rankings!$K1171:$N1171, Rankings!$P1171:$R1171), "TBD")</f>
        <v>TBD</v>
      </c>
      <c r="I1171" s="439"/>
      <c r="J1171" s="439"/>
      <c r="K1171" s="430"/>
      <c r="L1171" s="431"/>
      <c r="M1171" s="431"/>
      <c r="N1171" s="555"/>
      <c r="O1171" s="431"/>
      <c r="P1171" s="431"/>
      <c r="Q1171" s="464"/>
      <c r="R1171" s="465"/>
      <c r="S1171" s="466" t="str">
        <f>IF(ISTEXT($V1171), "TBD", RANK(V1171,$V1167:$V1173))</f>
        <v>TBD</v>
      </c>
      <c r="T1171" s="467">
        <v>1.0</v>
      </c>
      <c r="U1171" s="468" t="b">
        <f>Rankings!$S1171=Rankings!$T1171</f>
        <v>0</v>
      </c>
      <c r="V1171" s="553" t="str">
        <f>IF(ISTEXT(Rankings!F1171), "TBD", (RANK($F1171,$F1167:$F1173) + IF(ISTEXT($H1171), 0, (RANK($H1171,$H1167:$H1173)/10)) + (RANK($G1171,$G1167:$G1173)/100)))</f>
        <v>TBD</v>
      </c>
      <c r="W1171" s="153"/>
      <c r="Y1171" s="443"/>
    </row>
    <row r="1172" ht="15.75" customHeight="1">
      <c r="A1172" s="134"/>
      <c r="B1172" s="134"/>
      <c r="C1172" s="134"/>
      <c r="D1172" s="562">
        <f t="shared" si="168"/>
        <v>46321</v>
      </c>
      <c r="E1172" s="472" t="str">
        <f>$P$1</f>
        <v>Weston</v>
      </c>
      <c r="F1172" s="418" t="str">
        <f>IFERROR(AVERAGE(Rankings!$K1172:$R1172), "TBD")</f>
        <v>TBD</v>
      </c>
      <c r="G1172" s="418" t="str">
        <f>IFERROR(_xlfn.STDEV.P(Rankings!$K1172:$R1172), "TBD")</f>
        <v>TBD</v>
      </c>
      <c r="H1172" s="418" t="str">
        <f>IFERROR(AVERAGE(Rankings!$K1172:$O1172, Rankings!$Q1172:$R1172), "TBD")</f>
        <v>TBD</v>
      </c>
      <c r="I1172" s="440"/>
      <c r="J1172" s="440"/>
      <c r="K1172" s="430"/>
      <c r="L1172" s="431"/>
      <c r="M1172" s="431"/>
      <c r="N1172" s="555"/>
      <c r="O1172" s="431"/>
      <c r="P1172" s="431"/>
      <c r="Q1172" s="464"/>
      <c r="R1172" s="465"/>
      <c r="S1172" s="466" t="str">
        <f>IF(ISTEXT($V1172), "TBD", RANK(V1172,$V1167:$V1173))</f>
        <v>TBD</v>
      </c>
      <c r="T1172" s="467">
        <v>1.0</v>
      </c>
      <c r="U1172" s="468" t="b">
        <f>Rankings!$S1172=Rankings!$T1172</f>
        <v>0</v>
      </c>
      <c r="V1172" s="553" t="str">
        <f>IF(ISTEXT(Rankings!F1172), "TBD", (RANK($F1172,$F1167:$F1173) + IF(ISTEXT($H1172), 0, (RANK($H1172,$H1167:$H1173)/10)) + (RANK($G1172,$G1167:$G1173)/100)))</f>
        <v>TBD</v>
      </c>
      <c r="W1172" s="153"/>
      <c r="Y1172" s="443"/>
    </row>
    <row r="1173" ht="15.75" customHeight="1">
      <c r="A1173" s="189"/>
      <c r="B1173" s="189"/>
      <c r="C1173" s="189"/>
      <c r="D1173" s="563">
        <f t="shared" si="168"/>
        <v>46321</v>
      </c>
      <c r="E1173" s="230" t="str">
        <f>$Q$1</f>
        <v>Flocco</v>
      </c>
      <c r="F1173" s="474" t="str">
        <f>IFERROR(AVERAGE(Rankings!$K1173:$R1173), "TBD")</f>
        <v>TBD</v>
      </c>
      <c r="G1173" s="474" t="str">
        <f>IFERROR(_xlfn.STDEV.P(Rankings!$K1173:$R1173), "TBD")</f>
        <v>TBD</v>
      </c>
      <c r="H1173" s="474" t="str">
        <f>IFERROR(AVERAGE(Rankings!$K1173:$P1173, Rankings!$R1173), "TBD")</f>
        <v>TBD</v>
      </c>
      <c r="I1173" s="475"/>
      <c r="J1173" s="475"/>
      <c r="K1173" s="430"/>
      <c r="L1173" s="431"/>
      <c r="M1173" s="431"/>
      <c r="N1173" s="555"/>
      <c r="O1173" s="431"/>
      <c r="P1173" s="431"/>
      <c r="Q1173" s="464"/>
      <c r="R1173" s="465"/>
      <c r="S1173" s="466" t="str">
        <f>IF(ISTEXT($V1173), "TBD", RANK(V1173,$V1167:$V1173))</f>
        <v>TBD</v>
      </c>
      <c r="T1173" s="467">
        <v>1.0</v>
      </c>
      <c r="U1173" s="468" t="b">
        <f>Rankings!$S1173=Rankings!$T1173</f>
        <v>0</v>
      </c>
      <c r="V1173" s="553" t="str">
        <f>IF(ISTEXT(Rankings!F1173), "TBD", (RANK($F1173,$F1167:$F1173) + IF(ISTEXT($H1173), 0, (RANK($H1173,$H1167:$H1173)/10)) + (RANK($G1173,$G1167:$G1173)/100)))</f>
        <v>TBD</v>
      </c>
      <c r="W1173" s="208"/>
      <c r="Y1173" s="443"/>
    </row>
    <row r="1174" ht="15.75" customHeight="1">
      <c r="A1174" s="103">
        <v>46325.0</v>
      </c>
      <c r="B1174" s="453"/>
      <c r="C1174" s="454" t="str">
        <f t="array" ref="C1174">INDEX(Rankings!$E1174:$E1180, MATCH(1, (Rankings!$D1174:$D1180=$A1174)*(Rankings!$U1174:$U1180=TRUE()), 0))</f>
        <v>#N/A</v>
      </c>
      <c r="D1174" s="551">
        <f>A1174</f>
        <v>46325</v>
      </c>
      <c r="E1174" s="455" t="str">
        <f>$K$1</f>
        <v>Logan</v>
      </c>
      <c r="F1174" s="400" t="str">
        <f>IFERROR(AVERAGE(Rankings!$K1174:$R1174), "TBD")</f>
        <v>TBD</v>
      </c>
      <c r="G1174" s="400" t="str">
        <f>IFERROR(_xlfn.STDEV.P(Rankings!$K1174:$R1174), "TBD")</f>
        <v>TBD</v>
      </c>
      <c r="H1174" s="400" t="str">
        <f>IFERROR(AVERAGE(Rankings!$L1174:$R1174), "TBD")</f>
        <v>TBD</v>
      </c>
      <c r="I1174" s="421"/>
      <c r="J1174" s="421"/>
      <c r="K1174" s="422"/>
      <c r="L1174" s="423"/>
      <c r="M1174" s="423"/>
      <c r="N1174" s="555"/>
      <c r="O1174" s="423"/>
      <c r="P1174" s="423"/>
      <c r="Q1174" s="456"/>
      <c r="R1174" s="457"/>
      <c r="S1174" s="458" t="str">
        <f>IF(ISTEXT($V1174), "TBD", RANK(V1174,$V1174:$V1180))</f>
        <v>TBD</v>
      </c>
      <c r="T1174" s="576">
        <v>1.0</v>
      </c>
      <c r="U1174" s="460" t="b">
        <f>Rankings!$S1174=Rankings!$T1174</f>
        <v>0</v>
      </c>
      <c r="V1174" s="553" t="str">
        <f>IF(ISTEXT(Rankings!F1174), "TBD", (RANK($F1174,$F1174:$F1180) + IF(ISTEXT($H1174), 0, (RANK($H1174,$H1174:$H1180)/10)) + (RANK($G1174,$G1174:$G1180)/100)))</f>
        <v>TBD</v>
      </c>
      <c r="W1174" s="329"/>
      <c r="Y1174" s="443"/>
    </row>
    <row r="1175" ht="15.75" customHeight="1">
      <c r="A1175" s="134"/>
      <c r="B1175" s="134"/>
      <c r="C1175" s="134"/>
      <c r="D1175" s="554">
        <f>D1174</f>
        <v>46325</v>
      </c>
      <c r="E1175" s="463" t="str">
        <f>$L$1</f>
        <v>Parker</v>
      </c>
      <c r="F1175" s="404" t="str">
        <f>IFERROR(AVERAGE(Rankings!$K1175:$R1175), "TBD")</f>
        <v>TBD</v>
      </c>
      <c r="G1175" s="404" t="str">
        <f>IFERROR(_xlfn.STDEV.P(Rankings!$K1175:$R1175), "TBD")</f>
        <v>TBD</v>
      </c>
      <c r="H1175" s="404" t="str">
        <f>IFERROR(AVERAGE(Rankings!$K1175, Rankings!$M1175:$R1175), "TBD")</f>
        <v>TBD</v>
      </c>
      <c r="I1175" s="429"/>
      <c r="J1175" s="429"/>
      <c r="K1175" s="430"/>
      <c r="L1175" s="431"/>
      <c r="M1175" s="431"/>
      <c r="N1175" s="555"/>
      <c r="O1175" s="431"/>
      <c r="P1175" s="431"/>
      <c r="Q1175" s="464"/>
      <c r="R1175" s="465"/>
      <c r="S1175" s="466" t="str">
        <f>IF(ISTEXT($V1175), "TBD", RANK(V1175,$V1174:$V1180))</f>
        <v>TBD</v>
      </c>
      <c r="T1175" s="444">
        <v>1.0</v>
      </c>
      <c r="U1175" s="468" t="b">
        <f>Rankings!$S1175=Rankings!$T1175</f>
        <v>0</v>
      </c>
      <c r="V1175" s="553" t="str">
        <f>IF(ISTEXT(Rankings!F1175), "TBD", (RANK($F1175,$F1174:$F1180) + IF(ISTEXT($H1175), 0, (RANK($H1175,$H1174:$H1180)/10)) + (RANK($G1175,$G1174:$G1180)/100)))</f>
        <v>TBD</v>
      </c>
      <c r="W1175" s="153"/>
      <c r="Y1175" s="443"/>
    </row>
    <row r="1176" ht="15.75" customHeight="1">
      <c r="A1176" s="134"/>
      <c r="B1176" s="134"/>
      <c r="C1176" s="134"/>
      <c r="D1176" s="556">
        <f>D1174</f>
        <v>46325</v>
      </c>
      <c r="E1176" s="469" t="str">
        <f>$M$1</f>
        <v>Giacomo</v>
      </c>
      <c r="F1176" s="408" t="str">
        <f>IFERROR(AVERAGE(Rankings!$K1176:$R1176), "TBD")</f>
        <v>TBD</v>
      </c>
      <c r="G1176" s="408" t="str">
        <f>IFERROR(_xlfn.STDEV.P(Rankings!$K1176:$R1176), "TBD")</f>
        <v>TBD</v>
      </c>
      <c r="H1176" s="408" t="str">
        <f>IFERROR(AVERAGE(Rankings!$K1176:$L1176, Rankings!$N1176:$R1176), "TBD")</f>
        <v>TBD</v>
      </c>
      <c r="I1176" s="437"/>
      <c r="J1176" s="437"/>
      <c r="K1176" s="430"/>
      <c r="L1176" s="431"/>
      <c r="M1176" s="431"/>
      <c r="N1176" s="555"/>
      <c r="O1176" s="431"/>
      <c r="P1176" s="431"/>
      <c r="Q1176" s="464"/>
      <c r="R1176" s="465"/>
      <c r="S1176" s="466" t="str">
        <f>IF(ISTEXT($V1176), "TBD", RANK(V1176,$V1174:$V1180))</f>
        <v>TBD</v>
      </c>
      <c r="T1176" s="467">
        <v>1.0</v>
      </c>
      <c r="U1176" s="468" t="b">
        <f>Rankings!$S1176=Rankings!$T1176</f>
        <v>0</v>
      </c>
      <c r="V1176" s="553" t="str">
        <f>IF(ISTEXT(Rankings!F1176), "TBD", (RANK($F1176,$F1174:$F1180) + IF(ISTEXT($H1176), 0, (RANK($H1176,$H1174:$H1180)/10)) + (RANK($G1176,$G1174:$G1180)/100)))</f>
        <v>TBD</v>
      </c>
      <c r="W1176" s="153"/>
      <c r="Y1176" s="443"/>
    </row>
    <row r="1177" ht="15.75" customHeight="1">
      <c r="A1177" s="134"/>
      <c r="B1177" s="134"/>
      <c r="C1177" s="134"/>
      <c r="D1177" s="557">
        <f>D1174</f>
        <v>46325</v>
      </c>
      <c r="E1177" s="470" t="str">
        <f>$N$1</f>
        <v>Rosey</v>
      </c>
      <c r="F1177" s="411" t="str">
        <f>IFERROR(AVERAGE(Rankings!$K1177:$R1177), "TBD")</f>
        <v>TBD</v>
      </c>
      <c r="G1177" s="411" t="str">
        <f>IFERROR(_xlfn.STDEV.P(Rankings!$K1177:$R1177), "TBD")</f>
        <v>TBD</v>
      </c>
      <c r="H1177" s="411" t="str">
        <f>IFERROR(AVERAGE(Rankings!$K1177:$M1177, Rankings!$O1177:$R1177), "TBD")</f>
        <v>TBD</v>
      </c>
      <c r="I1177" s="438"/>
      <c r="J1177" s="438"/>
      <c r="K1177" s="430"/>
      <c r="L1177" s="566"/>
      <c r="M1177" s="431"/>
      <c r="N1177" s="555"/>
      <c r="O1177" s="431" t="s">
        <v>1697</v>
      </c>
      <c r="P1177" s="431" t="s">
        <v>1698</v>
      </c>
      <c r="Q1177" s="464" t="s">
        <v>1766</v>
      </c>
      <c r="R1177" s="465"/>
      <c r="S1177" s="466" t="str">
        <f>IF(ISTEXT($V1177), "TBD", RANK(V1177,$V1174:$V1180))</f>
        <v>TBD</v>
      </c>
      <c r="T1177" s="467">
        <v>1.0</v>
      </c>
      <c r="U1177" s="468" t="b">
        <f>Rankings!$S1177=Rankings!$T1177</f>
        <v>0</v>
      </c>
      <c r="V1177" s="553" t="str">
        <f>IF(ISTEXT(Rankings!F1177), "TBD", (RANK($F1177,$F1174:$F1180) + IF(ISTEXT($H1177), 0, (RANK($H1177,$H1174:$H1180)/10)) + (RANK($G1177,$G1174:$G1180)/100)))</f>
        <v>TBD</v>
      </c>
      <c r="W1177" s="153"/>
      <c r="Y1177" s="443"/>
    </row>
    <row r="1178" ht="15.75" customHeight="1">
      <c r="A1178" s="134"/>
      <c r="B1178" s="134"/>
      <c r="C1178" s="134"/>
      <c r="D1178" s="561">
        <f t="shared" ref="D1178:D1180" si="169">D1174</f>
        <v>46325</v>
      </c>
      <c r="E1178" s="471" t="str">
        <f>$O$1</f>
        <v>TTAC</v>
      </c>
      <c r="F1178" s="414" t="str">
        <f>IFERROR(AVERAGE(Rankings!$K1178:$R1178), "TBD")</f>
        <v>TBD</v>
      </c>
      <c r="G1178" s="414" t="str">
        <f>IFERROR(_xlfn.STDEV.P(Rankings!$K1178:$R1178), "TBD")</f>
        <v>TBD</v>
      </c>
      <c r="H1178" s="414" t="str">
        <f>IFERROR(AVERAGE(Rankings!$K1178:$N1178, Rankings!$P1178:$R1178), "TBD")</f>
        <v>TBD</v>
      </c>
      <c r="I1178" s="439"/>
      <c r="J1178" s="439"/>
      <c r="K1178" s="430"/>
      <c r="L1178" s="431"/>
      <c r="M1178" s="431"/>
      <c r="N1178" s="555"/>
      <c r="O1178" s="431"/>
      <c r="P1178" s="431"/>
      <c r="Q1178" s="464"/>
      <c r="R1178" s="465"/>
      <c r="S1178" s="466" t="str">
        <f>IF(ISTEXT($V1178), "TBD", RANK(V1178,$V1174:$V1180))</f>
        <v>TBD</v>
      </c>
      <c r="T1178" s="467">
        <v>1.0</v>
      </c>
      <c r="U1178" s="468" t="b">
        <f>Rankings!$S1178=Rankings!$T1178</f>
        <v>0</v>
      </c>
      <c r="V1178" s="553" t="str">
        <f>IF(ISTEXT(Rankings!F1178), "TBD", (RANK($F1178,$F1174:$F1180) + IF(ISTEXT($H1178), 0, (RANK($H1178,$H1174:$H1180)/10)) + (RANK($G1178,$G1174:$G1180)/100)))</f>
        <v>TBD</v>
      </c>
      <c r="W1178" s="153"/>
      <c r="Y1178" s="443"/>
    </row>
    <row r="1179" ht="15.75" customHeight="1">
      <c r="A1179" s="134"/>
      <c r="B1179" s="134"/>
      <c r="C1179" s="134"/>
      <c r="D1179" s="562">
        <f t="shared" si="169"/>
        <v>46325</v>
      </c>
      <c r="E1179" s="472" t="str">
        <f>$P$1</f>
        <v>Weston</v>
      </c>
      <c r="F1179" s="418" t="str">
        <f>IFERROR(AVERAGE(Rankings!$K1179:$R1179), "TBD")</f>
        <v>TBD</v>
      </c>
      <c r="G1179" s="418" t="str">
        <f>IFERROR(_xlfn.STDEV.P(Rankings!$K1179:$R1179), "TBD")</f>
        <v>TBD</v>
      </c>
      <c r="H1179" s="418" t="str">
        <f>IFERROR(AVERAGE(Rankings!$K1179:$O1179, Rankings!$Q1179:$R1179), "TBD")</f>
        <v>TBD</v>
      </c>
      <c r="I1179" s="440"/>
      <c r="J1179" s="440"/>
      <c r="K1179" s="430"/>
      <c r="L1179" s="431"/>
      <c r="M1179" s="431"/>
      <c r="N1179" s="555"/>
      <c r="O1179" s="431"/>
      <c r="P1179" s="431"/>
      <c r="Q1179" s="464"/>
      <c r="R1179" s="465"/>
      <c r="S1179" s="466" t="str">
        <f>IF(ISTEXT($V1179), "TBD", RANK(V1179,$V1174:$V1180))</f>
        <v>TBD</v>
      </c>
      <c r="T1179" s="467">
        <v>1.0</v>
      </c>
      <c r="U1179" s="468" t="b">
        <f>Rankings!$S1179=Rankings!$T1179</f>
        <v>0</v>
      </c>
      <c r="V1179" s="553" t="str">
        <f>IF(ISTEXT(Rankings!F1179), "TBD", (RANK($F1179,$F1174:$F1180) + IF(ISTEXT($H1179), 0, (RANK($H1179,$H1174:$H1180)/10)) + (RANK($G1179,$G1174:$G1180)/100)))</f>
        <v>TBD</v>
      </c>
      <c r="W1179" s="153"/>
      <c r="Y1179" s="443"/>
    </row>
    <row r="1180" ht="15.75" customHeight="1">
      <c r="A1180" s="189"/>
      <c r="B1180" s="189"/>
      <c r="C1180" s="189"/>
      <c r="D1180" s="563">
        <f t="shared" si="169"/>
        <v>46325</v>
      </c>
      <c r="E1180" s="230" t="str">
        <f>$Q$1</f>
        <v>Flocco</v>
      </c>
      <c r="F1180" s="474" t="str">
        <f>IFERROR(AVERAGE(Rankings!$K1180:$R1180), "TBD")</f>
        <v>TBD</v>
      </c>
      <c r="G1180" s="474" t="str">
        <f>IFERROR(_xlfn.STDEV.P(Rankings!$K1180:$R1180), "TBD")</f>
        <v>TBD</v>
      </c>
      <c r="H1180" s="474" t="str">
        <f>IFERROR(AVERAGE(Rankings!$K1180:$P1180, Rankings!$R1180), "TBD")</f>
        <v>TBD</v>
      </c>
      <c r="I1180" s="475"/>
      <c r="J1180" s="475"/>
      <c r="K1180" s="430"/>
      <c r="L1180" s="431"/>
      <c r="M1180" s="431"/>
      <c r="N1180" s="555"/>
      <c r="O1180" s="431"/>
      <c r="P1180" s="431"/>
      <c r="Q1180" s="464"/>
      <c r="R1180" s="465"/>
      <c r="S1180" s="466" t="str">
        <f>IF(ISTEXT($V1180), "TBD", RANK(V1180,$V1174:$V1180))</f>
        <v>TBD</v>
      </c>
      <c r="T1180" s="467">
        <v>1.0</v>
      </c>
      <c r="U1180" s="468" t="b">
        <f>Rankings!$S1180=Rankings!$T1180</f>
        <v>0</v>
      </c>
      <c r="V1180" s="553" t="str">
        <f>IF(ISTEXT(Rankings!F1180), "TBD", (RANK($F1180,$F1174:$F1180) + IF(ISTEXT($H1180), 0, (RANK($H1180,$H1174:$H1180)/10)) + (RANK($G1180,$G1174:$G1180)/100)))</f>
        <v>TBD</v>
      </c>
      <c r="W1180" s="208"/>
      <c r="Y1180" s="443"/>
    </row>
    <row r="1181" ht="15.75" customHeight="1">
      <c r="A1181" s="103"/>
      <c r="B1181" s="453"/>
      <c r="C1181" s="454" t="str">
        <f t="array" ref="C1181">INDEX(Rankings!$E1181:$E1187, MATCH(1, (Rankings!$D1181:$D1187=$A1181)*(Rankings!$U1181:$U1187=TRUE()), 0))</f>
        <v>#N/A</v>
      </c>
      <c r="D1181" s="551" t="str">
        <f>A1181</f>
        <v/>
      </c>
      <c r="E1181" s="455" t="str">
        <f>$K$1</f>
        <v>Logan</v>
      </c>
      <c r="F1181" s="400" t="str">
        <f>IFERROR(AVERAGE(Rankings!$K1181:$R1181), "TBD")</f>
        <v>TBD</v>
      </c>
      <c r="G1181" s="400" t="str">
        <f>IFERROR(_xlfn.STDEV.P(Rankings!$K1181:$R1181), "TBD")</f>
        <v>TBD</v>
      </c>
      <c r="H1181" s="400" t="str">
        <f>IFERROR(AVERAGE(Rankings!$L1181:$R1181), "TBD")</f>
        <v>TBD</v>
      </c>
      <c r="I1181" s="421"/>
      <c r="J1181" s="421"/>
      <c r="K1181" s="422"/>
      <c r="L1181" s="423"/>
      <c r="M1181" s="423"/>
      <c r="N1181" s="555"/>
      <c r="O1181" s="423"/>
      <c r="P1181" s="423"/>
      <c r="Q1181" s="456"/>
      <c r="R1181" s="457"/>
      <c r="S1181" s="458" t="str">
        <f>IF(ISTEXT($V1181), "TBD", RANK(V1181,$V1181:$V1187))</f>
        <v>TBD</v>
      </c>
      <c r="T1181" s="576">
        <v>1.0</v>
      </c>
      <c r="U1181" s="460" t="b">
        <f>Rankings!$S1181=Rankings!$T1181</f>
        <v>0</v>
      </c>
      <c r="V1181" s="553" t="str">
        <f>IF(ISTEXT(Rankings!F1181), "TBD", (RANK($F1181,$F1181:$F1187) + IF(ISTEXT($H1181), 0, (RANK($H1181,$H1181:$H1187)/10)) + (RANK($G1181,$G1181:$G1187)/100)))</f>
        <v>TBD</v>
      </c>
      <c r="W1181" s="329"/>
      <c r="Y1181" s="443"/>
    </row>
    <row r="1182" ht="15.75" customHeight="1">
      <c r="A1182" s="134"/>
      <c r="B1182" s="134"/>
      <c r="C1182" s="134"/>
      <c r="D1182" s="554" t="str">
        <f>D1181</f>
        <v/>
      </c>
      <c r="E1182" s="463" t="str">
        <f>$L$1</f>
        <v>Parker</v>
      </c>
      <c r="F1182" s="404" t="str">
        <f>IFERROR(AVERAGE(Rankings!$K1182:$R1182), "TBD")</f>
        <v>TBD</v>
      </c>
      <c r="G1182" s="404" t="str">
        <f>IFERROR(_xlfn.STDEV.P(Rankings!$K1182:$R1182), "TBD")</f>
        <v>TBD</v>
      </c>
      <c r="H1182" s="404" t="str">
        <f>IFERROR(AVERAGE(Rankings!$K1182, Rankings!$M1182:$R1182), "TBD")</f>
        <v>TBD</v>
      </c>
      <c r="I1182" s="429"/>
      <c r="J1182" s="429"/>
      <c r="K1182" s="430"/>
      <c r="L1182" s="431"/>
      <c r="M1182" s="431"/>
      <c r="N1182" s="555"/>
      <c r="O1182" s="431"/>
      <c r="P1182" s="431"/>
      <c r="Q1182" s="464"/>
      <c r="R1182" s="465"/>
      <c r="S1182" s="466" t="str">
        <f>IF(ISTEXT($V1182), "TBD", RANK(V1182,$V1181:$V1187))</f>
        <v>TBD</v>
      </c>
      <c r="T1182" s="444">
        <v>1.0</v>
      </c>
      <c r="U1182" s="468" t="b">
        <f>Rankings!$S1182=Rankings!$T1182</f>
        <v>0</v>
      </c>
      <c r="V1182" s="553" t="str">
        <f>IF(ISTEXT(Rankings!F1182), "TBD", (RANK($F1182,$F1181:$F1187) + IF(ISTEXT($H1182), 0, (RANK($H1182,$H1181:$H1187)/10)) + (RANK($G1182,$G1181:$G1187)/100)))</f>
        <v>TBD</v>
      </c>
      <c r="W1182" s="153"/>
      <c r="Y1182" s="443"/>
    </row>
    <row r="1183" ht="15.75" customHeight="1">
      <c r="A1183" s="134"/>
      <c r="B1183" s="134"/>
      <c r="C1183" s="134"/>
      <c r="D1183" s="556" t="str">
        <f>D1181</f>
        <v/>
      </c>
      <c r="E1183" s="469" t="str">
        <f>$M$1</f>
        <v>Giacomo</v>
      </c>
      <c r="F1183" s="408" t="str">
        <f>IFERROR(AVERAGE(Rankings!$K1183:$R1183), "TBD")</f>
        <v>TBD</v>
      </c>
      <c r="G1183" s="408" t="str">
        <f>IFERROR(_xlfn.STDEV.P(Rankings!$K1183:$R1183), "TBD")</f>
        <v>TBD</v>
      </c>
      <c r="H1183" s="408" t="str">
        <f>IFERROR(AVERAGE(Rankings!$K1183:$L1183, Rankings!$N1183:$R1183), "TBD")</f>
        <v>TBD</v>
      </c>
      <c r="I1183" s="437"/>
      <c r="J1183" s="437"/>
      <c r="K1183" s="430"/>
      <c r="L1183" s="431"/>
      <c r="M1183" s="431"/>
      <c r="N1183" s="555"/>
      <c r="O1183" s="431"/>
      <c r="P1183" s="431"/>
      <c r="Q1183" s="464"/>
      <c r="R1183" s="465"/>
      <c r="S1183" s="466" t="str">
        <f>IF(ISTEXT($V1183), "TBD", RANK(V1183,$V1181:$V1187))</f>
        <v>TBD</v>
      </c>
      <c r="T1183" s="467">
        <v>1.0</v>
      </c>
      <c r="U1183" s="468" t="b">
        <f>Rankings!$S1183=Rankings!$T1183</f>
        <v>0</v>
      </c>
      <c r="V1183" s="553" t="str">
        <f>IF(ISTEXT(Rankings!F1183), "TBD", (RANK($F1183,$F1181:$F1187) + IF(ISTEXT($H1183), 0, (RANK($H1183,$H1181:$H1187)/10)) + (RANK($G1183,$G1181:$G1187)/100)))</f>
        <v>TBD</v>
      </c>
      <c r="W1183" s="153"/>
      <c r="Y1183" s="443"/>
    </row>
    <row r="1184" ht="15.75" customHeight="1">
      <c r="A1184" s="134"/>
      <c r="B1184" s="134"/>
      <c r="C1184" s="134"/>
      <c r="D1184" s="557" t="str">
        <f>D1181</f>
        <v/>
      </c>
      <c r="E1184" s="470" t="str">
        <f>$N$1</f>
        <v>Rosey</v>
      </c>
      <c r="F1184" s="411" t="str">
        <f>IFERROR(AVERAGE(Rankings!$K1184:$R1184), "TBD")</f>
        <v>TBD</v>
      </c>
      <c r="G1184" s="411" t="str">
        <f>IFERROR(_xlfn.STDEV.P(Rankings!$K1184:$R1184), "TBD")</f>
        <v>TBD</v>
      </c>
      <c r="H1184" s="411" t="str">
        <f>IFERROR(AVERAGE(Rankings!$K1184:$M1184, Rankings!$O1184:$R1184), "TBD")</f>
        <v>TBD</v>
      </c>
      <c r="I1184" s="438"/>
      <c r="J1184" s="438"/>
      <c r="K1184" s="430"/>
      <c r="L1184" s="566"/>
      <c r="M1184" s="431"/>
      <c r="N1184" s="555"/>
      <c r="O1184" s="431" t="s">
        <v>1697</v>
      </c>
      <c r="P1184" s="431" t="s">
        <v>1698</v>
      </c>
      <c r="Q1184" s="464" t="s">
        <v>1766</v>
      </c>
      <c r="R1184" s="465"/>
      <c r="S1184" s="466" t="str">
        <f>IF(ISTEXT($V1184), "TBD", RANK(V1184,$V1181:$V1187))</f>
        <v>TBD</v>
      </c>
      <c r="T1184" s="467">
        <v>1.0</v>
      </c>
      <c r="U1184" s="468" t="b">
        <f>Rankings!$S1184=Rankings!$T1184</f>
        <v>0</v>
      </c>
      <c r="V1184" s="553" t="str">
        <f>IF(ISTEXT(Rankings!F1184), "TBD", (RANK($F1184,$F1181:$F1187) + IF(ISTEXT($H1184), 0, (RANK($H1184,$H1181:$H1187)/10)) + (RANK($G1184,$G1181:$G1187)/100)))</f>
        <v>TBD</v>
      </c>
      <c r="W1184" s="153"/>
      <c r="Y1184" s="443"/>
    </row>
    <row r="1185" ht="15.75" customHeight="1">
      <c r="A1185" s="134"/>
      <c r="B1185" s="134"/>
      <c r="C1185" s="134"/>
      <c r="D1185" s="561" t="str">
        <f t="shared" ref="D1185:D1187" si="170">D1181</f>
        <v/>
      </c>
      <c r="E1185" s="471" t="str">
        <f>$O$1</f>
        <v>TTAC</v>
      </c>
      <c r="F1185" s="414" t="str">
        <f>IFERROR(AVERAGE(Rankings!$K1185:$R1185), "TBD")</f>
        <v>TBD</v>
      </c>
      <c r="G1185" s="414" t="str">
        <f>IFERROR(_xlfn.STDEV.P(Rankings!$K1185:$R1185), "TBD")</f>
        <v>TBD</v>
      </c>
      <c r="H1185" s="414" t="str">
        <f>IFERROR(AVERAGE(Rankings!$K1185:$N1185, Rankings!$P1185:$R1185), "TBD")</f>
        <v>TBD</v>
      </c>
      <c r="I1185" s="439"/>
      <c r="J1185" s="439"/>
      <c r="K1185" s="430"/>
      <c r="L1185" s="431"/>
      <c r="M1185" s="431"/>
      <c r="N1185" s="555"/>
      <c r="O1185" s="431"/>
      <c r="P1185" s="431"/>
      <c r="Q1185" s="464"/>
      <c r="R1185" s="465"/>
      <c r="S1185" s="466" t="str">
        <f>IF(ISTEXT($V1185), "TBD", RANK(V1185,$V1181:$V1187))</f>
        <v>TBD</v>
      </c>
      <c r="T1185" s="467">
        <v>1.0</v>
      </c>
      <c r="U1185" s="468" t="b">
        <f>Rankings!$S1185=Rankings!$T1185</f>
        <v>0</v>
      </c>
      <c r="V1185" s="553" t="str">
        <f>IF(ISTEXT(Rankings!F1185), "TBD", (RANK($F1185,$F1181:$F1187) + IF(ISTEXT($H1185), 0, (RANK($H1185,$H1181:$H1187)/10)) + (RANK($G1185,$G1181:$G1187)/100)))</f>
        <v>TBD</v>
      </c>
      <c r="W1185" s="153"/>
      <c r="Y1185" s="443"/>
    </row>
    <row r="1186" ht="15.75" customHeight="1">
      <c r="A1186" s="134"/>
      <c r="B1186" s="134"/>
      <c r="C1186" s="134"/>
      <c r="D1186" s="562" t="str">
        <f t="shared" si="170"/>
        <v/>
      </c>
      <c r="E1186" s="472" t="str">
        <f>$P$1</f>
        <v>Weston</v>
      </c>
      <c r="F1186" s="418" t="str">
        <f>IFERROR(AVERAGE(Rankings!$K1186:$R1186), "TBD")</f>
        <v>TBD</v>
      </c>
      <c r="G1186" s="418" t="str">
        <f>IFERROR(_xlfn.STDEV.P(Rankings!$K1186:$R1186), "TBD")</f>
        <v>TBD</v>
      </c>
      <c r="H1186" s="418" t="str">
        <f>IFERROR(AVERAGE(Rankings!$K1186:$O1186, Rankings!$Q1186:$R1186), "TBD")</f>
        <v>TBD</v>
      </c>
      <c r="I1186" s="440"/>
      <c r="J1186" s="440"/>
      <c r="K1186" s="430"/>
      <c r="L1186" s="431"/>
      <c r="M1186" s="431"/>
      <c r="N1186" s="555"/>
      <c r="O1186" s="431"/>
      <c r="P1186" s="431"/>
      <c r="Q1186" s="464"/>
      <c r="R1186" s="465"/>
      <c r="S1186" s="466" t="str">
        <f>IF(ISTEXT($V1186), "TBD", RANK(V1186,$V1181:$V1187))</f>
        <v>TBD</v>
      </c>
      <c r="T1186" s="467">
        <v>1.0</v>
      </c>
      <c r="U1186" s="468" t="b">
        <f>Rankings!$S1186=Rankings!$T1186</f>
        <v>0</v>
      </c>
      <c r="V1186" s="553" t="str">
        <f>IF(ISTEXT(Rankings!F1186), "TBD", (RANK($F1186,$F1181:$F1187) + IF(ISTEXT($H1186), 0, (RANK($H1186,$H1181:$H1187)/10)) + (RANK($G1186,$G1181:$G1187)/100)))</f>
        <v>TBD</v>
      </c>
      <c r="W1186" s="153"/>
      <c r="Y1186" s="443"/>
    </row>
    <row r="1187" ht="15.75" customHeight="1">
      <c r="A1187" s="189"/>
      <c r="B1187" s="189"/>
      <c r="C1187" s="189"/>
      <c r="D1187" s="563" t="str">
        <f t="shared" si="170"/>
        <v/>
      </c>
      <c r="E1187" s="230" t="str">
        <f>$Q$1</f>
        <v>Flocco</v>
      </c>
      <c r="F1187" s="474" t="str">
        <f>IFERROR(AVERAGE(Rankings!$K1187:$R1187), "TBD")</f>
        <v>TBD</v>
      </c>
      <c r="G1187" s="474" t="str">
        <f>IFERROR(_xlfn.STDEV.P(Rankings!$K1187:$R1187), "TBD")</f>
        <v>TBD</v>
      </c>
      <c r="H1187" s="474" t="str">
        <f>IFERROR(AVERAGE(Rankings!$K1187:$P1187, Rankings!$R1187), "TBD")</f>
        <v>TBD</v>
      </c>
      <c r="I1187" s="475"/>
      <c r="J1187" s="475"/>
      <c r="K1187" s="430"/>
      <c r="L1187" s="431"/>
      <c r="M1187" s="431"/>
      <c r="N1187" s="555"/>
      <c r="O1187" s="431"/>
      <c r="P1187" s="431"/>
      <c r="Q1187" s="464"/>
      <c r="R1187" s="465"/>
      <c r="S1187" s="466" t="str">
        <f>IF(ISTEXT($V1187), "TBD", RANK(V1187,$V1181:$V1187))</f>
        <v>TBD</v>
      </c>
      <c r="T1187" s="467">
        <v>1.0</v>
      </c>
      <c r="U1187" s="468" t="b">
        <f>Rankings!$S1187=Rankings!$T1187</f>
        <v>0</v>
      </c>
      <c r="V1187" s="553" t="str">
        <f>IF(ISTEXT(Rankings!F1187), "TBD", (RANK($F1187,$F1181:$F1187) + IF(ISTEXT($H1187), 0, (RANK($H1187,$H1181:$H1187)/10)) + (RANK($G1187,$G1181:$G1187)/100)))</f>
        <v>TBD</v>
      </c>
      <c r="W1187" s="208"/>
      <c r="Y1187" s="443"/>
    </row>
    <row r="1188" ht="15.75" customHeight="1">
      <c r="A1188" s="103"/>
      <c r="B1188" s="453"/>
      <c r="C1188" s="454" t="str">
        <f t="array" ref="C1188">INDEX(Rankings!$E1188:$E1194, MATCH(1, (Rankings!$D1188:$D1194=$A1188)*(Rankings!$U1188:$U1194=TRUE()), 0))</f>
        <v>#N/A</v>
      </c>
      <c r="D1188" s="551" t="str">
        <f>A1188</f>
        <v/>
      </c>
      <c r="E1188" s="455" t="str">
        <f>$K$1</f>
        <v>Logan</v>
      </c>
      <c r="F1188" s="400" t="str">
        <f>IFERROR(AVERAGE(Rankings!$K1188:$R1188), "TBD")</f>
        <v>TBD</v>
      </c>
      <c r="G1188" s="400" t="str">
        <f>IFERROR(_xlfn.STDEV.P(Rankings!$K1188:$R1188), "TBD")</f>
        <v>TBD</v>
      </c>
      <c r="H1188" s="400" t="str">
        <f>IFERROR(AVERAGE(Rankings!$L1188:$R1188), "TBD")</f>
        <v>TBD</v>
      </c>
      <c r="I1188" s="421"/>
      <c r="J1188" s="421"/>
      <c r="K1188" s="422"/>
      <c r="L1188" s="423"/>
      <c r="M1188" s="423"/>
      <c r="N1188" s="555"/>
      <c r="O1188" s="423"/>
      <c r="P1188" s="423"/>
      <c r="Q1188" s="456"/>
      <c r="R1188" s="457"/>
      <c r="S1188" s="458" t="str">
        <f>IF(ISTEXT($V1188), "TBD", RANK(V1188,$V1188:$V1194))</f>
        <v>TBD</v>
      </c>
      <c r="T1188" s="576">
        <v>1.0</v>
      </c>
      <c r="U1188" s="460" t="b">
        <f>Rankings!$S1188=Rankings!$T1188</f>
        <v>0</v>
      </c>
      <c r="V1188" s="553" t="str">
        <f>IF(ISTEXT(Rankings!F1188), "TBD", (RANK($F1188,$F1188:$F1194) + IF(ISTEXT($H1188), 0, (RANK($H1188,$H1188:$H1194)/10)) + (RANK($G1188,$G1188:$G1194)/100)))</f>
        <v>TBD</v>
      </c>
      <c r="W1188" s="329"/>
      <c r="Y1188" s="443"/>
    </row>
    <row r="1189" ht="15.75" customHeight="1">
      <c r="A1189" s="134"/>
      <c r="B1189" s="134"/>
      <c r="C1189" s="134"/>
      <c r="D1189" s="554" t="str">
        <f>D1188</f>
        <v/>
      </c>
      <c r="E1189" s="463" t="str">
        <f>$L$1</f>
        <v>Parker</v>
      </c>
      <c r="F1189" s="404" t="str">
        <f>IFERROR(AVERAGE(Rankings!$K1189:$R1189), "TBD")</f>
        <v>TBD</v>
      </c>
      <c r="G1189" s="404" t="str">
        <f>IFERROR(_xlfn.STDEV.P(Rankings!$K1189:$R1189), "TBD")</f>
        <v>TBD</v>
      </c>
      <c r="H1189" s="404" t="str">
        <f>IFERROR(AVERAGE(Rankings!$K1189, Rankings!$M1189:$R1189), "TBD")</f>
        <v>TBD</v>
      </c>
      <c r="I1189" s="429"/>
      <c r="J1189" s="429"/>
      <c r="K1189" s="430"/>
      <c r="L1189" s="431"/>
      <c r="M1189" s="431"/>
      <c r="N1189" s="555"/>
      <c r="O1189" s="431"/>
      <c r="P1189" s="431"/>
      <c r="Q1189" s="464"/>
      <c r="R1189" s="465"/>
      <c r="S1189" s="466" t="str">
        <f>IF(ISTEXT($V1189), "TBD", RANK(V1189,$V1188:$V1194))</f>
        <v>TBD</v>
      </c>
      <c r="T1189" s="444">
        <v>1.0</v>
      </c>
      <c r="U1189" s="468" t="b">
        <f>Rankings!$S1189=Rankings!$T1189</f>
        <v>0</v>
      </c>
      <c r="V1189" s="553" t="str">
        <f>IF(ISTEXT(Rankings!F1189), "TBD", (RANK($F1189,$F1188:$F1194) + IF(ISTEXT($H1189), 0, (RANK($H1189,$H1188:$H1194)/10)) + (RANK($G1189,$G1188:$G1194)/100)))</f>
        <v>TBD</v>
      </c>
      <c r="W1189" s="153"/>
      <c r="Y1189" s="443"/>
    </row>
    <row r="1190" ht="15.75" customHeight="1">
      <c r="A1190" s="134"/>
      <c r="B1190" s="134"/>
      <c r="C1190" s="134"/>
      <c r="D1190" s="556" t="str">
        <f>D1188</f>
        <v/>
      </c>
      <c r="E1190" s="469" t="str">
        <f>$M$1</f>
        <v>Giacomo</v>
      </c>
      <c r="F1190" s="408" t="str">
        <f>IFERROR(AVERAGE(Rankings!$K1190:$R1190), "TBD")</f>
        <v>TBD</v>
      </c>
      <c r="G1190" s="408" t="str">
        <f>IFERROR(_xlfn.STDEV.P(Rankings!$K1190:$R1190), "TBD")</f>
        <v>TBD</v>
      </c>
      <c r="H1190" s="408" t="str">
        <f>IFERROR(AVERAGE(Rankings!$K1190:$L1190, Rankings!$N1190:$R1190), "TBD")</f>
        <v>TBD</v>
      </c>
      <c r="I1190" s="437"/>
      <c r="J1190" s="437"/>
      <c r="K1190" s="430"/>
      <c r="L1190" s="431"/>
      <c r="M1190" s="431"/>
      <c r="N1190" s="555"/>
      <c r="O1190" s="431"/>
      <c r="P1190" s="431"/>
      <c r="Q1190" s="464"/>
      <c r="R1190" s="465"/>
      <c r="S1190" s="466" t="str">
        <f>IF(ISTEXT($V1190), "TBD", RANK(V1190,$V1188:$V1194))</f>
        <v>TBD</v>
      </c>
      <c r="T1190" s="467">
        <v>1.0</v>
      </c>
      <c r="U1190" s="468" t="b">
        <f>Rankings!$S1190=Rankings!$T1190</f>
        <v>0</v>
      </c>
      <c r="V1190" s="553" t="str">
        <f>IF(ISTEXT(Rankings!F1190), "TBD", (RANK($F1190,$F1188:$F1194) + IF(ISTEXT($H1190), 0, (RANK($H1190,$H1188:$H1194)/10)) + (RANK($G1190,$G1188:$G1194)/100)))</f>
        <v>TBD</v>
      </c>
      <c r="W1190" s="153"/>
      <c r="Y1190" s="443"/>
    </row>
    <row r="1191" ht="15.75" customHeight="1">
      <c r="A1191" s="134"/>
      <c r="B1191" s="134"/>
      <c r="C1191" s="134"/>
      <c r="D1191" s="557" t="str">
        <f>D1188</f>
        <v/>
      </c>
      <c r="E1191" s="470" t="str">
        <f>$N$1</f>
        <v>Rosey</v>
      </c>
      <c r="F1191" s="411" t="str">
        <f>IFERROR(AVERAGE(Rankings!$K1191:$R1191), "TBD")</f>
        <v>TBD</v>
      </c>
      <c r="G1191" s="411" t="str">
        <f>IFERROR(_xlfn.STDEV.P(Rankings!$K1191:$R1191), "TBD")</f>
        <v>TBD</v>
      </c>
      <c r="H1191" s="411" t="str">
        <f>IFERROR(AVERAGE(Rankings!$K1191:$M1191, Rankings!$O1191:$R1191), "TBD")</f>
        <v>TBD</v>
      </c>
      <c r="I1191" s="438"/>
      <c r="J1191" s="438"/>
      <c r="K1191" s="430"/>
      <c r="L1191" s="566"/>
      <c r="M1191" s="431"/>
      <c r="N1191" s="555"/>
      <c r="O1191" s="431" t="s">
        <v>1697</v>
      </c>
      <c r="P1191" s="431" t="s">
        <v>1698</v>
      </c>
      <c r="Q1191" s="464" t="s">
        <v>1766</v>
      </c>
      <c r="R1191" s="465"/>
      <c r="S1191" s="466" t="str">
        <f>IF(ISTEXT($V1191), "TBD", RANK(V1191,$V1188:$V1194))</f>
        <v>TBD</v>
      </c>
      <c r="T1191" s="467">
        <v>1.0</v>
      </c>
      <c r="U1191" s="468" t="b">
        <f>Rankings!$S1191=Rankings!$T1191</f>
        <v>0</v>
      </c>
      <c r="V1191" s="553" t="str">
        <f>IF(ISTEXT(Rankings!F1191), "TBD", (RANK($F1191,$F1188:$F1194) + IF(ISTEXT($H1191), 0, (RANK($H1191,$H1188:$H1194)/10)) + (RANK($G1191,$G1188:$G1194)/100)))</f>
        <v>TBD</v>
      </c>
      <c r="W1191" s="153"/>
      <c r="Y1191" s="443"/>
    </row>
    <row r="1192" ht="15.75" customHeight="1">
      <c r="A1192" s="134"/>
      <c r="B1192" s="134"/>
      <c r="C1192" s="134"/>
      <c r="D1192" s="561" t="str">
        <f t="shared" ref="D1192:D1194" si="171">D1188</f>
        <v/>
      </c>
      <c r="E1192" s="471" t="str">
        <f>$O$1</f>
        <v>TTAC</v>
      </c>
      <c r="F1192" s="414" t="str">
        <f>IFERROR(AVERAGE(Rankings!$K1192:$R1192), "TBD")</f>
        <v>TBD</v>
      </c>
      <c r="G1192" s="414" t="str">
        <f>IFERROR(_xlfn.STDEV.P(Rankings!$K1192:$R1192), "TBD")</f>
        <v>TBD</v>
      </c>
      <c r="H1192" s="414" t="str">
        <f>IFERROR(AVERAGE(Rankings!$K1192:$N1192, Rankings!$P1192:$R1192), "TBD")</f>
        <v>TBD</v>
      </c>
      <c r="I1192" s="439"/>
      <c r="J1192" s="439"/>
      <c r="K1192" s="430"/>
      <c r="L1192" s="431"/>
      <c r="M1192" s="431"/>
      <c r="N1192" s="555"/>
      <c r="O1192" s="431"/>
      <c r="P1192" s="431"/>
      <c r="Q1192" s="464"/>
      <c r="R1192" s="465"/>
      <c r="S1192" s="466" t="str">
        <f>IF(ISTEXT($V1192), "TBD", RANK(V1192,$V1188:$V1194))</f>
        <v>TBD</v>
      </c>
      <c r="T1192" s="467">
        <v>1.0</v>
      </c>
      <c r="U1192" s="468" t="b">
        <f>Rankings!$S1192=Rankings!$T1192</f>
        <v>0</v>
      </c>
      <c r="V1192" s="553" t="str">
        <f>IF(ISTEXT(Rankings!F1192), "TBD", (RANK($F1192,$F1188:$F1194) + IF(ISTEXT($H1192), 0, (RANK($H1192,$H1188:$H1194)/10)) + (RANK($G1192,$G1188:$G1194)/100)))</f>
        <v>TBD</v>
      </c>
      <c r="W1192" s="153"/>
      <c r="Y1192" s="443"/>
    </row>
    <row r="1193" ht="15.75" customHeight="1">
      <c r="A1193" s="134"/>
      <c r="B1193" s="134"/>
      <c r="C1193" s="134"/>
      <c r="D1193" s="562" t="str">
        <f t="shared" si="171"/>
        <v/>
      </c>
      <c r="E1193" s="472" t="str">
        <f>$P$1</f>
        <v>Weston</v>
      </c>
      <c r="F1193" s="418" t="str">
        <f>IFERROR(AVERAGE(Rankings!$K1193:$R1193), "TBD")</f>
        <v>TBD</v>
      </c>
      <c r="G1193" s="418" t="str">
        <f>IFERROR(_xlfn.STDEV.P(Rankings!$K1193:$R1193), "TBD")</f>
        <v>TBD</v>
      </c>
      <c r="H1193" s="418" t="str">
        <f>IFERROR(AVERAGE(Rankings!$K1193:$O1193, Rankings!$Q1193:$R1193), "TBD")</f>
        <v>TBD</v>
      </c>
      <c r="I1193" s="440"/>
      <c r="J1193" s="440"/>
      <c r="K1193" s="430"/>
      <c r="L1193" s="431"/>
      <c r="M1193" s="431"/>
      <c r="N1193" s="555"/>
      <c r="O1193" s="431"/>
      <c r="P1193" s="431"/>
      <c r="Q1193" s="464"/>
      <c r="R1193" s="465"/>
      <c r="S1193" s="466" t="str">
        <f>IF(ISTEXT($V1193), "TBD", RANK(V1193,$V1188:$V1194))</f>
        <v>TBD</v>
      </c>
      <c r="T1193" s="467">
        <v>1.0</v>
      </c>
      <c r="U1193" s="468" t="b">
        <f>Rankings!$S1193=Rankings!$T1193</f>
        <v>0</v>
      </c>
      <c r="V1193" s="553" t="str">
        <f>IF(ISTEXT(Rankings!F1193), "TBD", (RANK($F1193,$F1188:$F1194) + IF(ISTEXT($H1193), 0, (RANK($H1193,$H1188:$H1194)/10)) + (RANK($G1193,$G1188:$G1194)/100)))</f>
        <v>TBD</v>
      </c>
      <c r="W1193" s="153"/>
      <c r="Y1193" s="443"/>
    </row>
    <row r="1194" ht="15.75" customHeight="1">
      <c r="A1194" s="189"/>
      <c r="B1194" s="189"/>
      <c r="C1194" s="189"/>
      <c r="D1194" s="563" t="str">
        <f t="shared" si="171"/>
        <v/>
      </c>
      <c r="E1194" s="230" t="str">
        <f>$Q$1</f>
        <v>Flocco</v>
      </c>
      <c r="F1194" s="474" t="str">
        <f>IFERROR(AVERAGE(Rankings!$K1194:$R1194), "TBD")</f>
        <v>TBD</v>
      </c>
      <c r="G1194" s="474" t="str">
        <f>IFERROR(_xlfn.STDEV.P(Rankings!$K1194:$R1194), "TBD")</f>
        <v>TBD</v>
      </c>
      <c r="H1194" s="474" t="str">
        <f>IFERROR(AVERAGE(Rankings!$K1194:$P1194, Rankings!$R1194), "TBD")</f>
        <v>TBD</v>
      </c>
      <c r="I1194" s="475"/>
      <c r="J1194" s="475"/>
      <c r="K1194" s="430"/>
      <c r="L1194" s="431"/>
      <c r="M1194" s="431"/>
      <c r="N1194" s="555"/>
      <c r="O1194" s="431"/>
      <c r="P1194" s="431"/>
      <c r="Q1194" s="464"/>
      <c r="R1194" s="465"/>
      <c r="S1194" s="466" t="str">
        <f>IF(ISTEXT($V1194), "TBD", RANK(V1194,$V1188:$V1194))</f>
        <v>TBD</v>
      </c>
      <c r="T1194" s="467">
        <v>1.0</v>
      </c>
      <c r="U1194" s="468" t="b">
        <f>Rankings!$S1194=Rankings!$T1194</f>
        <v>0</v>
      </c>
      <c r="V1194" s="553" t="str">
        <f>IF(ISTEXT(Rankings!F1194), "TBD", (RANK($F1194,$F1188:$F1194) + IF(ISTEXT($H1194), 0, (RANK($H1194,$H1188:$H1194)/10)) + (RANK($G1194,$G1188:$G1194)/100)))</f>
        <v>TBD</v>
      </c>
      <c r="W1194" s="208"/>
      <c r="Y1194" s="443"/>
    </row>
    <row r="1195" ht="15.75" customHeight="1">
      <c r="A1195" s="103"/>
      <c r="B1195" s="453"/>
      <c r="C1195" s="454" t="str">
        <f t="array" ref="C1195">INDEX(Rankings!$E1195:$E1201, MATCH(1, (Rankings!$D1195:$D1201=$A1195)*(Rankings!$U1195:$U1201=TRUE()), 0))</f>
        <v>#N/A</v>
      </c>
      <c r="D1195" s="551" t="str">
        <f>A1195</f>
        <v/>
      </c>
      <c r="E1195" s="455" t="str">
        <f>$K$1</f>
        <v>Logan</v>
      </c>
      <c r="F1195" s="400" t="str">
        <f>IFERROR(AVERAGE(Rankings!$K1195:$R1195), "TBD")</f>
        <v>TBD</v>
      </c>
      <c r="G1195" s="400" t="str">
        <f>IFERROR(_xlfn.STDEV.P(Rankings!$K1195:$R1195), "TBD")</f>
        <v>TBD</v>
      </c>
      <c r="H1195" s="400" t="str">
        <f>IFERROR(AVERAGE(Rankings!$L1195:$R1195), "TBD")</f>
        <v>TBD</v>
      </c>
      <c r="I1195" s="421"/>
      <c r="J1195" s="421"/>
      <c r="K1195" s="422"/>
      <c r="L1195" s="423"/>
      <c r="M1195" s="423"/>
      <c r="N1195" s="555"/>
      <c r="O1195" s="423"/>
      <c r="P1195" s="423"/>
      <c r="Q1195" s="456"/>
      <c r="R1195" s="457"/>
      <c r="S1195" s="458" t="str">
        <f>IF(ISTEXT($V1195), "TBD", RANK(V1195,$V1195:$V1201))</f>
        <v>TBD</v>
      </c>
      <c r="T1195" s="576">
        <v>1.0</v>
      </c>
      <c r="U1195" s="460" t="b">
        <f>Rankings!$S1195=Rankings!$T1195</f>
        <v>0</v>
      </c>
      <c r="V1195" s="553" t="str">
        <f>IF(ISTEXT(Rankings!F1195), "TBD", (RANK($F1195,$F1195:$F1201) + IF(ISTEXT($H1195), 0, (RANK($H1195,$H1195:$H1201)/10)) + (RANK($G1195,$G1195:$G1201)/100)))</f>
        <v>TBD</v>
      </c>
      <c r="W1195" s="329"/>
      <c r="Y1195" s="443"/>
    </row>
    <row r="1196" ht="15.75" customHeight="1">
      <c r="A1196" s="134"/>
      <c r="B1196" s="134"/>
      <c r="C1196" s="134"/>
      <c r="D1196" s="554" t="str">
        <f>D1195</f>
        <v/>
      </c>
      <c r="E1196" s="463" t="str">
        <f>$L$1</f>
        <v>Parker</v>
      </c>
      <c r="F1196" s="404" t="str">
        <f>IFERROR(AVERAGE(Rankings!$K1196:$R1196), "TBD")</f>
        <v>TBD</v>
      </c>
      <c r="G1196" s="404" t="str">
        <f>IFERROR(_xlfn.STDEV.P(Rankings!$K1196:$R1196), "TBD")</f>
        <v>TBD</v>
      </c>
      <c r="H1196" s="404" t="str">
        <f>IFERROR(AVERAGE(Rankings!$K1196, Rankings!$M1196:$R1196), "TBD")</f>
        <v>TBD</v>
      </c>
      <c r="I1196" s="429"/>
      <c r="J1196" s="429"/>
      <c r="K1196" s="430"/>
      <c r="L1196" s="431"/>
      <c r="M1196" s="431"/>
      <c r="N1196" s="555"/>
      <c r="O1196" s="431"/>
      <c r="P1196" s="431"/>
      <c r="Q1196" s="464"/>
      <c r="R1196" s="465"/>
      <c r="S1196" s="466" t="str">
        <f>IF(ISTEXT($V1196), "TBD", RANK(V1196,$V1195:$V1201))</f>
        <v>TBD</v>
      </c>
      <c r="T1196" s="444">
        <v>1.0</v>
      </c>
      <c r="U1196" s="468" t="b">
        <f>Rankings!$S1196=Rankings!$T1196</f>
        <v>0</v>
      </c>
      <c r="V1196" s="553" t="str">
        <f>IF(ISTEXT(Rankings!F1196), "TBD", (RANK($F1196,$F1195:$F1201) + IF(ISTEXT($H1196), 0, (RANK($H1196,$H1195:$H1201)/10)) + (RANK($G1196,$G1195:$G1201)/100)))</f>
        <v>TBD</v>
      </c>
      <c r="W1196" s="153"/>
      <c r="Y1196" s="443"/>
    </row>
    <row r="1197" ht="15.75" customHeight="1">
      <c r="A1197" s="134"/>
      <c r="B1197" s="134"/>
      <c r="C1197" s="134"/>
      <c r="D1197" s="556" t="str">
        <f>D1195</f>
        <v/>
      </c>
      <c r="E1197" s="469" t="str">
        <f>$M$1</f>
        <v>Giacomo</v>
      </c>
      <c r="F1197" s="408" t="str">
        <f>IFERROR(AVERAGE(Rankings!$K1197:$R1197), "TBD")</f>
        <v>TBD</v>
      </c>
      <c r="G1197" s="408" t="str">
        <f>IFERROR(_xlfn.STDEV.P(Rankings!$K1197:$R1197), "TBD")</f>
        <v>TBD</v>
      </c>
      <c r="H1197" s="408" t="str">
        <f>IFERROR(AVERAGE(Rankings!$K1197:$L1197, Rankings!$N1197:$R1197), "TBD")</f>
        <v>TBD</v>
      </c>
      <c r="I1197" s="437"/>
      <c r="J1197" s="437"/>
      <c r="K1197" s="430"/>
      <c r="L1197" s="431"/>
      <c r="M1197" s="431"/>
      <c r="N1197" s="555"/>
      <c r="O1197" s="431"/>
      <c r="P1197" s="431"/>
      <c r="Q1197" s="464"/>
      <c r="R1197" s="465"/>
      <c r="S1197" s="466" t="str">
        <f>IF(ISTEXT($V1197), "TBD", RANK(V1197,$V1195:$V1201))</f>
        <v>TBD</v>
      </c>
      <c r="T1197" s="467">
        <v>1.0</v>
      </c>
      <c r="U1197" s="468" t="b">
        <f>Rankings!$S1197=Rankings!$T1197</f>
        <v>0</v>
      </c>
      <c r="V1197" s="553" t="str">
        <f>IF(ISTEXT(Rankings!F1197), "TBD", (RANK($F1197,$F1195:$F1201) + IF(ISTEXT($H1197), 0, (RANK($H1197,$H1195:$H1201)/10)) + (RANK($G1197,$G1195:$G1201)/100)))</f>
        <v>TBD</v>
      </c>
      <c r="W1197" s="153"/>
      <c r="Y1197" s="443"/>
    </row>
    <row r="1198" ht="15.75" customHeight="1">
      <c r="A1198" s="134"/>
      <c r="B1198" s="134"/>
      <c r="C1198" s="134"/>
      <c r="D1198" s="557" t="str">
        <f>D1195</f>
        <v/>
      </c>
      <c r="E1198" s="470" t="str">
        <f>$N$1</f>
        <v>Rosey</v>
      </c>
      <c r="F1198" s="411" t="str">
        <f>IFERROR(AVERAGE(Rankings!$K1198:$R1198), "TBD")</f>
        <v>TBD</v>
      </c>
      <c r="G1198" s="411" t="str">
        <f>IFERROR(_xlfn.STDEV.P(Rankings!$K1198:$R1198), "TBD")</f>
        <v>TBD</v>
      </c>
      <c r="H1198" s="411" t="str">
        <f>IFERROR(AVERAGE(Rankings!$K1198:$M1198, Rankings!$O1198:$R1198), "TBD")</f>
        <v>TBD</v>
      </c>
      <c r="I1198" s="438"/>
      <c r="J1198" s="438"/>
      <c r="K1198" s="430"/>
      <c r="L1198" s="566"/>
      <c r="M1198" s="431"/>
      <c r="N1198" s="555"/>
      <c r="O1198" s="431" t="s">
        <v>1697</v>
      </c>
      <c r="P1198" s="431" t="s">
        <v>1698</v>
      </c>
      <c r="Q1198" s="464" t="s">
        <v>1766</v>
      </c>
      <c r="R1198" s="465"/>
      <c r="S1198" s="466" t="str">
        <f>IF(ISTEXT($V1198), "TBD", RANK(V1198,$V1195:$V1201))</f>
        <v>TBD</v>
      </c>
      <c r="T1198" s="467">
        <v>1.0</v>
      </c>
      <c r="U1198" s="468" t="b">
        <f>Rankings!$S1198=Rankings!$T1198</f>
        <v>0</v>
      </c>
      <c r="V1198" s="553" t="str">
        <f>IF(ISTEXT(Rankings!F1198), "TBD", (RANK($F1198,$F1195:$F1201) + IF(ISTEXT($H1198), 0, (RANK($H1198,$H1195:$H1201)/10)) + (RANK($G1198,$G1195:$G1201)/100)))</f>
        <v>TBD</v>
      </c>
      <c r="W1198" s="153"/>
      <c r="Y1198" s="443"/>
    </row>
    <row r="1199" ht="15.75" customHeight="1">
      <c r="A1199" s="134"/>
      <c r="B1199" s="134"/>
      <c r="C1199" s="134"/>
      <c r="D1199" s="561" t="str">
        <f t="shared" ref="D1199:D1201" si="172">D1195</f>
        <v/>
      </c>
      <c r="E1199" s="471" t="str">
        <f>$O$1</f>
        <v>TTAC</v>
      </c>
      <c r="F1199" s="414" t="str">
        <f>IFERROR(AVERAGE(Rankings!$K1199:$R1199), "TBD")</f>
        <v>TBD</v>
      </c>
      <c r="G1199" s="414" t="str">
        <f>IFERROR(_xlfn.STDEV.P(Rankings!$K1199:$R1199), "TBD")</f>
        <v>TBD</v>
      </c>
      <c r="H1199" s="414" t="str">
        <f>IFERROR(AVERAGE(Rankings!$K1199:$N1199, Rankings!$P1199:$R1199), "TBD")</f>
        <v>TBD</v>
      </c>
      <c r="I1199" s="439"/>
      <c r="J1199" s="439"/>
      <c r="K1199" s="430"/>
      <c r="L1199" s="431"/>
      <c r="M1199" s="431"/>
      <c r="N1199" s="555"/>
      <c r="O1199" s="431"/>
      <c r="P1199" s="431"/>
      <c r="Q1199" s="464"/>
      <c r="R1199" s="465"/>
      <c r="S1199" s="466" t="str">
        <f>IF(ISTEXT($V1199), "TBD", RANK(V1199,$V1195:$V1201))</f>
        <v>TBD</v>
      </c>
      <c r="T1199" s="467">
        <v>1.0</v>
      </c>
      <c r="U1199" s="468" t="b">
        <f>Rankings!$S1199=Rankings!$T1199</f>
        <v>0</v>
      </c>
      <c r="V1199" s="553" t="str">
        <f>IF(ISTEXT(Rankings!F1199), "TBD", (RANK($F1199,$F1195:$F1201) + IF(ISTEXT($H1199), 0, (RANK($H1199,$H1195:$H1201)/10)) + (RANK($G1199,$G1195:$G1201)/100)))</f>
        <v>TBD</v>
      </c>
      <c r="W1199" s="153"/>
      <c r="Y1199" s="443"/>
    </row>
    <row r="1200" ht="15.75" customHeight="1">
      <c r="A1200" s="134"/>
      <c r="B1200" s="134"/>
      <c r="C1200" s="134"/>
      <c r="D1200" s="562" t="str">
        <f t="shared" si="172"/>
        <v/>
      </c>
      <c r="E1200" s="472" t="str">
        <f>$P$1</f>
        <v>Weston</v>
      </c>
      <c r="F1200" s="418" t="str">
        <f>IFERROR(AVERAGE(Rankings!$K1200:$R1200), "TBD")</f>
        <v>TBD</v>
      </c>
      <c r="G1200" s="418" t="str">
        <f>IFERROR(_xlfn.STDEV.P(Rankings!$K1200:$R1200), "TBD")</f>
        <v>TBD</v>
      </c>
      <c r="H1200" s="418" t="str">
        <f>IFERROR(AVERAGE(Rankings!$K1200:$O1200, Rankings!$Q1200:$R1200), "TBD")</f>
        <v>TBD</v>
      </c>
      <c r="I1200" s="440"/>
      <c r="J1200" s="440"/>
      <c r="K1200" s="430"/>
      <c r="L1200" s="431"/>
      <c r="M1200" s="431"/>
      <c r="N1200" s="555"/>
      <c r="O1200" s="431"/>
      <c r="P1200" s="431"/>
      <c r="Q1200" s="464"/>
      <c r="R1200" s="465"/>
      <c r="S1200" s="466" t="str">
        <f>IF(ISTEXT($V1200), "TBD", RANK(V1200,$V1195:$V1201))</f>
        <v>TBD</v>
      </c>
      <c r="T1200" s="467">
        <v>1.0</v>
      </c>
      <c r="U1200" s="468" t="b">
        <f>Rankings!$S1200=Rankings!$T1200</f>
        <v>0</v>
      </c>
      <c r="V1200" s="553" t="str">
        <f>IF(ISTEXT(Rankings!F1200), "TBD", (RANK($F1200,$F1195:$F1201) + IF(ISTEXT($H1200), 0, (RANK($H1200,$H1195:$H1201)/10)) + (RANK($G1200,$G1195:$G1201)/100)))</f>
        <v>TBD</v>
      </c>
      <c r="W1200" s="153"/>
      <c r="Y1200" s="443"/>
    </row>
    <row r="1201" ht="15.75" customHeight="1">
      <c r="A1201" s="189"/>
      <c r="B1201" s="189"/>
      <c r="C1201" s="189"/>
      <c r="D1201" s="563" t="str">
        <f t="shared" si="172"/>
        <v/>
      </c>
      <c r="E1201" s="230" t="str">
        <f>$Q$1</f>
        <v>Flocco</v>
      </c>
      <c r="F1201" s="474" t="str">
        <f>IFERROR(AVERAGE(Rankings!$K1201:$R1201), "TBD")</f>
        <v>TBD</v>
      </c>
      <c r="G1201" s="474" t="str">
        <f>IFERROR(_xlfn.STDEV.P(Rankings!$K1201:$R1201), "TBD")</f>
        <v>TBD</v>
      </c>
      <c r="H1201" s="474" t="str">
        <f>IFERROR(AVERAGE(Rankings!$K1201:$P1201, Rankings!$R1201), "TBD")</f>
        <v>TBD</v>
      </c>
      <c r="I1201" s="475"/>
      <c r="J1201" s="475"/>
      <c r="K1201" s="430"/>
      <c r="L1201" s="431"/>
      <c r="M1201" s="431"/>
      <c r="N1201" s="555"/>
      <c r="O1201" s="431"/>
      <c r="P1201" s="431"/>
      <c r="Q1201" s="464"/>
      <c r="R1201" s="465"/>
      <c r="S1201" s="466" t="str">
        <f>IF(ISTEXT($V1201), "TBD", RANK(V1201,$V1195:$V1201))</f>
        <v>TBD</v>
      </c>
      <c r="T1201" s="467">
        <v>1.0</v>
      </c>
      <c r="U1201" s="468" t="b">
        <f>Rankings!$S1201=Rankings!$T1201</f>
        <v>0</v>
      </c>
      <c r="V1201" s="553" t="str">
        <f>IF(ISTEXT(Rankings!F1201), "TBD", (RANK($F1201,$F1195:$F1201) + IF(ISTEXT($H1201), 0, (RANK($H1201,$H1195:$H1201)/10)) + (RANK($G1201,$G1195:$G1201)/100)))</f>
        <v>TBD</v>
      </c>
      <c r="W1201" s="208"/>
      <c r="Y1201" s="443"/>
    </row>
    <row r="1202" ht="15.75" customHeight="1">
      <c r="A1202" s="103"/>
      <c r="B1202" s="453"/>
      <c r="C1202" s="454" t="str">
        <f t="array" ref="C1202">INDEX(Rankings!$E1202:$E1208, MATCH(1, (Rankings!$D1202:$D1208=$A1202)*(Rankings!$U1202:$U1208=TRUE()), 0))</f>
        <v>#N/A</v>
      </c>
      <c r="D1202" s="551" t="str">
        <f>A1202</f>
        <v/>
      </c>
      <c r="E1202" s="455" t="str">
        <f>$K$1</f>
        <v>Logan</v>
      </c>
      <c r="F1202" s="400" t="str">
        <f>IFERROR(AVERAGE(Rankings!$K1202:$R1202), "TBD")</f>
        <v>TBD</v>
      </c>
      <c r="G1202" s="400" t="str">
        <f>IFERROR(_xlfn.STDEV.P(Rankings!$K1202:$R1202), "TBD")</f>
        <v>TBD</v>
      </c>
      <c r="H1202" s="400" t="str">
        <f>IFERROR(AVERAGE(Rankings!$L1202:$R1202), "TBD")</f>
        <v>TBD</v>
      </c>
      <c r="I1202" s="421"/>
      <c r="J1202" s="421"/>
      <c r="K1202" s="422"/>
      <c r="L1202" s="423"/>
      <c r="M1202" s="423"/>
      <c r="N1202" s="555"/>
      <c r="O1202" s="423"/>
      <c r="P1202" s="423"/>
      <c r="Q1202" s="456"/>
      <c r="R1202" s="457"/>
      <c r="S1202" s="458" t="str">
        <f>IF(ISTEXT($V1202), "TBD", RANK(V1202,$V1202:$V1208))</f>
        <v>TBD</v>
      </c>
      <c r="T1202" s="576">
        <v>1.0</v>
      </c>
      <c r="U1202" s="460" t="b">
        <f>Rankings!$S1202=Rankings!$T1202</f>
        <v>0</v>
      </c>
      <c r="V1202" s="553" t="str">
        <f>IF(ISTEXT(Rankings!F1202), "TBD", (RANK($F1202,$F1202:$F1208) + IF(ISTEXT($H1202), 0, (RANK($H1202,$H1202:$H1208)/10)) + (RANK($G1202,$G1202:$G1208)/100)))</f>
        <v>TBD</v>
      </c>
      <c r="W1202" s="329"/>
      <c r="Y1202" s="443"/>
    </row>
    <row r="1203" ht="15.75" customHeight="1">
      <c r="A1203" s="134"/>
      <c r="B1203" s="134"/>
      <c r="C1203" s="134"/>
      <c r="D1203" s="554" t="str">
        <f>D1202</f>
        <v/>
      </c>
      <c r="E1203" s="463" t="str">
        <f>$L$1</f>
        <v>Parker</v>
      </c>
      <c r="F1203" s="404" t="str">
        <f>IFERROR(AVERAGE(Rankings!$K1203:$R1203), "TBD")</f>
        <v>TBD</v>
      </c>
      <c r="G1203" s="404" t="str">
        <f>IFERROR(_xlfn.STDEV.P(Rankings!$K1203:$R1203), "TBD")</f>
        <v>TBD</v>
      </c>
      <c r="H1203" s="404" t="str">
        <f>IFERROR(AVERAGE(Rankings!$K1203, Rankings!$M1203:$R1203), "TBD")</f>
        <v>TBD</v>
      </c>
      <c r="I1203" s="429"/>
      <c r="J1203" s="429"/>
      <c r="K1203" s="430"/>
      <c r="L1203" s="431"/>
      <c r="M1203" s="431"/>
      <c r="N1203" s="555"/>
      <c r="O1203" s="431"/>
      <c r="P1203" s="431"/>
      <c r="Q1203" s="464"/>
      <c r="R1203" s="465"/>
      <c r="S1203" s="466" t="str">
        <f>IF(ISTEXT($V1203), "TBD", RANK(V1203,$V1202:$V1208))</f>
        <v>TBD</v>
      </c>
      <c r="T1203" s="444">
        <v>1.0</v>
      </c>
      <c r="U1203" s="468" t="b">
        <f>Rankings!$S1203=Rankings!$T1203</f>
        <v>0</v>
      </c>
      <c r="V1203" s="553" t="str">
        <f>IF(ISTEXT(Rankings!F1203), "TBD", (RANK($F1203,$F1202:$F1208) + IF(ISTEXT($H1203), 0, (RANK($H1203,$H1202:$H1208)/10)) + (RANK($G1203,$G1202:$G1208)/100)))</f>
        <v>TBD</v>
      </c>
      <c r="W1203" s="153"/>
      <c r="Y1203" s="443"/>
    </row>
    <row r="1204" ht="15.75" customHeight="1">
      <c r="A1204" s="134"/>
      <c r="B1204" s="134"/>
      <c r="C1204" s="134"/>
      <c r="D1204" s="556" t="str">
        <f>D1202</f>
        <v/>
      </c>
      <c r="E1204" s="469" t="str">
        <f>$M$1</f>
        <v>Giacomo</v>
      </c>
      <c r="F1204" s="408" t="str">
        <f>IFERROR(AVERAGE(Rankings!$K1204:$R1204), "TBD")</f>
        <v>TBD</v>
      </c>
      <c r="G1204" s="408" t="str">
        <f>IFERROR(_xlfn.STDEV.P(Rankings!$K1204:$R1204), "TBD")</f>
        <v>TBD</v>
      </c>
      <c r="H1204" s="408" t="str">
        <f>IFERROR(AVERAGE(Rankings!$K1204:$L1204, Rankings!$N1204:$R1204), "TBD")</f>
        <v>TBD</v>
      </c>
      <c r="I1204" s="437"/>
      <c r="J1204" s="437"/>
      <c r="K1204" s="430"/>
      <c r="L1204" s="431"/>
      <c r="M1204" s="431"/>
      <c r="N1204" s="555"/>
      <c r="O1204" s="431"/>
      <c r="P1204" s="431"/>
      <c r="Q1204" s="464"/>
      <c r="R1204" s="465"/>
      <c r="S1204" s="466" t="str">
        <f>IF(ISTEXT($V1204), "TBD", RANK(V1204,$V1202:$V1208))</f>
        <v>TBD</v>
      </c>
      <c r="T1204" s="467">
        <v>1.0</v>
      </c>
      <c r="U1204" s="468" t="b">
        <f>Rankings!$S1204=Rankings!$T1204</f>
        <v>0</v>
      </c>
      <c r="V1204" s="553" t="str">
        <f>IF(ISTEXT(Rankings!F1204), "TBD", (RANK($F1204,$F1202:$F1208) + IF(ISTEXT($H1204), 0, (RANK($H1204,$H1202:$H1208)/10)) + (RANK($G1204,$G1202:$G1208)/100)))</f>
        <v>TBD</v>
      </c>
      <c r="W1204" s="153"/>
      <c r="Y1204" s="443"/>
    </row>
    <row r="1205" ht="15.75" customHeight="1">
      <c r="A1205" s="134"/>
      <c r="B1205" s="134"/>
      <c r="C1205" s="134"/>
      <c r="D1205" s="557" t="str">
        <f>D1202</f>
        <v/>
      </c>
      <c r="E1205" s="470" t="str">
        <f>$N$1</f>
        <v>Rosey</v>
      </c>
      <c r="F1205" s="411" t="str">
        <f>IFERROR(AVERAGE(Rankings!$K1205:$R1205), "TBD")</f>
        <v>TBD</v>
      </c>
      <c r="G1205" s="411" t="str">
        <f>IFERROR(_xlfn.STDEV.P(Rankings!$K1205:$R1205), "TBD")</f>
        <v>TBD</v>
      </c>
      <c r="H1205" s="411" t="str">
        <f>IFERROR(AVERAGE(Rankings!$K1205:$M1205, Rankings!$O1205:$R1205), "TBD")</f>
        <v>TBD</v>
      </c>
      <c r="I1205" s="438"/>
      <c r="J1205" s="438"/>
      <c r="K1205" s="430"/>
      <c r="L1205" s="566"/>
      <c r="M1205" s="431"/>
      <c r="N1205" s="555"/>
      <c r="O1205" s="431" t="s">
        <v>1697</v>
      </c>
      <c r="P1205" s="431" t="s">
        <v>1698</v>
      </c>
      <c r="Q1205" s="464" t="s">
        <v>1766</v>
      </c>
      <c r="R1205" s="465"/>
      <c r="S1205" s="466" t="str">
        <f>IF(ISTEXT($V1205), "TBD", RANK(V1205,$V1202:$V1208))</f>
        <v>TBD</v>
      </c>
      <c r="T1205" s="467">
        <v>1.0</v>
      </c>
      <c r="U1205" s="468" t="b">
        <f>Rankings!$S1205=Rankings!$T1205</f>
        <v>0</v>
      </c>
      <c r="V1205" s="553" t="str">
        <f>IF(ISTEXT(Rankings!F1205), "TBD", (RANK($F1205,$F1202:$F1208) + IF(ISTEXT($H1205), 0, (RANK($H1205,$H1202:$H1208)/10)) + (RANK($G1205,$G1202:$G1208)/100)))</f>
        <v>TBD</v>
      </c>
      <c r="W1205" s="153"/>
      <c r="Y1205" s="443"/>
    </row>
    <row r="1206" ht="15.75" customHeight="1">
      <c r="A1206" s="134"/>
      <c r="B1206" s="134"/>
      <c r="C1206" s="134"/>
      <c r="D1206" s="561" t="str">
        <f t="shared" ref="D1206:D1208" si="173">D1202</f>
        <v/>
      </c>
      <c r="E1206" s="471" t="str">
        <f>$O$1</f>
        <v>TTAC</v>
      </c>
      <c r="F1206" s="414" t="str">
        <f>IFERROR(AVERAGE(Rankings!$K1206:$R1206), "TBD")</f>
        <v>TBD</v>
      </c>
      <c r="G1206" s="414" t="str">
        <f>IFERROR(_xlfn.STDEV.P(Rankings!$K1206:$R1206), "TBD")</f>
        <v>TBD</v>
      </c>
      <c r="H1206" s="414" t="str">
        <f>IFERROR(AVERAGE(Rankings!$K1206:$N1206, Rankings!$P1206:$R1206), "TBD")</f>
        <v>TBD</v>
      </c>
      <c r="I1206" s="439"/>
      <c r="J1206" s="439"/>
      <c r="K1206" s="430"/>
      <c r="L1206" s="431"/>
      <c r="M1206" s="431"/>
      <c r="N1206" s="555"/>
      <c r="O1206" s="431"/>
      <c r="P1206" s="431"/>
      <c r="Q1206" s="464"/>
      <c r="R1206" s="465"/>
      <c r="S1206" s="466" t="str">
        <f>IF(ISTEXT($V1206), "TBD", RANK(V1206,$V1202:$V1208))</f>
        <v>TBD</v>
      </c>
      <c r="T1206" s="467">
        <v>1.0</v>
      </c>
      <c r="U1206" s="468" t="b">
        <f>Rankings!$S1206=Rankings!$T1206</f>
        <v>0</v>
      </c>
      <c r="V1206" s="553" t="str">
        <f>IF(ISTEXT(Rankings!F1206), "TBD", (RANK($F1206,$F1202:$F1208) + IF(ISTEXT($H1206), 0, (RANK($H1206,$H1202:$H1208)/10)) + (RANK($G1206,$G1202:$G1208)/100)))</f>
        <v>TBD</v>
      </c>
      <c r="W1206" s="153"/>
      <c r="Y1206" s="443"/>
    </row>
    <row r="1207" ht="15.75" customHeight="1">
      <c r="A1207" s="134"/>
      <c r="B1207" s="134"/>
      <c r="C1207" s="134"/>
      <c r="D1207" s="562" t="str">
        <f t="shared" si="173"/>
        <v/>
      </c>
      <c r="E1207" s="472" t="str">
        <f>$P$1</f>
        <v>Weston</v>
      </c>
      <c r="F1207" s="418" t="str">
        <f>IFERROR(AVERAGE(Rankings!$K1207:$R1207), "TBD")</f>
        <v>TBD</v>
      </c>
      <c r="G1207" s="418" t="str">
        <f>IFERROR(_xlfn.STDEV.P(Rankings!$K1207:$R1207), "TBD")</f>
        <v>TBD</v>
      </c>
      <c r="H1207" s="418" t="str">
        <f>IFERROR(AVERAGE(Rankings!$K1207:$O1207, Rankings!$Q1207:$R1207), "TBD")</f>
        <v>TBD</v>
      </c>
      <c r="I1207" s="440"/>
      <c r="J1207" s="440"/>
      <c r="K1207" s="430"/>
      <c r="L1207" s="431"/>
      <c r="M1207" s="431"/>
      <c r="N1207" s="555"/>
      <c r="O1207" s="431"/>
      <c r="P1207" s="431"/>
      <c r="Q1207" s="464"/>
      <c r="R1207" s="465"/>
      <c r="S1207" s="466" t="str">
        <f>IF(ISTEXT($V1207), "TBD", RANK(V1207,$V1202:$V1208))</f>
        <v>TBD</v>
      </c>
      <c r="T1207" s="467">
        <v>1.0</v>
      </c>
      <c r="U1207" s="468" t="b">
        <f>Rankings!$S1207=Rankings!$T1207</f>
        <v>0</v>
      </c>
      <c r="V1207" s="553" t="str">
        <f>IF(ISTEXT(Rankings!F1207), "TBD", (RANK($F1207,$F1202:$F1208) + IF(ISTEXT($H1207), 0, (RANK($H1207,$H1202:$H1208)/10)) + (RANK($G1207,$G1202:$G1208)/100)))</f>
        <v>TBD</v>
      </c>
      <c r="W1207" s="153"/>
      <c r="Y1207" s="443"/>
    </row>
    <row r="1208" ht="15.75" customHeight="1">
      <c r="A1208" s="189"/>
      <c r="B1208" s="189"/>
      <c r="C1208" s="189"/>
      <c r="D1208" s="563" t="str">
        <f t="shared" si="173"/>
        <v/>
      </c>
      <c r="E1208" s="230" t="str">
        <f>$Q$1</f>
        <v>Flocco</v>
      </c>
      <c r="F1208" s="474" t="str">
        <f>IFERROR(AVERAGE(Rankings!$K1208:$R1208), "TBD")</f>
        <v>TBD</v>
      </c>
      <c r="G1208" s="474" t="str">
        <f>IFERROR(_xlfn.STDEV.P(Rankings!$K1208:$R1208), "TBD")</f>
        <v>TBD</v>
      </c>
      <c r="H1208" s="474" t="str">
        <f>IFERROR(AVERAGE(Rankings!$K1208:$P1208, Rankings!$R1208), "TBD")</f>
        <v>TBD</v>
      </c>
      <c r="I1208" s="475"/>
      <c r="J1208" s="475"/>
      <c r="K1208" s="430"/>
      <c r="L1208" s="431"/>
      <c r="M1208" s="431"/>
      <c r="N1208" s="555"/>
      <c r="O1208" s="431"/>
      <c r="P1208" s="431"/>
      <c r="Q1208" s="464"/>
      <c r="R1208" s="465"/>
      <c r="S1208" s="466" t="str">
        <f>IF(ISTEXT($V1208), "TBD", RANK(V1208,$V1202:$V1208))</f>
        <v>TBD</v>
      </c>
      <c r="T1208" s="467">
        <v>1.0</v>
      </c>
      <c r="U1208" s="468" t="b">
        <f>Rankings!$S1208=Rankings!$T1208</f>
        <v>0</v>
      </c>
      <c r="V1208" s="553" t="str">
        <f>IF(ISTEXT(Rankings!F1208), "TBD", (RANK($F1208,$F1202:$F1208) + IF(ISTEXT($H1208), 0, (RANK($H1208,$H1202:$H1208)/10)) + (RANK($G1208,$G1202:$G1208)/100)))</f>
        <v>TBD</v>
      </c>
      <c r="W1208" s="208"/>
      <c r="Y1208" s="443"/>
    </row>
    <row r="1209" ht="15.75" customHeight="1">
      <c r="A1209" s="103"/>
      <c r="B1209" s="453"/>
      <c r="C1209" s="454" t="str">
        <f t="array" ref="C1209">INDEX(Rankings!$E1209:$E1215, MATCH(1, (Rankings!$D1209:$D1215=$A1209)*(Rankings!$U1209:$U1215=TRUE()), 0))</f>
        <v>#N/A</v>
      </c>
      <c r="D1209" s="551" t="str">
        <f>A1209</f>
        <v/>
      </c>
      <c r="E1209" s="455" t="str">
        <f>$K$1</f>
        <v>Logan</v>
      </c>
      <c r="F1209" s="400" t="str">
        <f>IFERROR(AVERAGE(Rankings!$K1209:$R1209), "TBD")</f>
        <v>TBD</v>
      </c>
      <c r="G1209" s="400" t="str">
        <f>IFERROR(_xlfn.STDEV.P(Rankings!$K1209:$R1209), "TBD")</f>
        <v>TBD</v>
      </c>
      <c r="H1209" s="400" t="str">
        <f>IFERROR(AVERAGE(Rankings!$L1209:$R1209), "TBD")</f>
        <v>TBD</v>
      </c>
      <c r="I1209" s="421"/>
      <c r="J1209" s="421"/>
      <c r="K1209" s="422"/>
      <c r="L1209" s="423"/>
      <c r="M1209" s="423"/>
      <c r="N1209" s="555"/>
      <c r="O1209" s="423"/>
      <c r="P1209" s="423"/>
      <c r="Q1209" s="456"/>
      <c r="R1209" s="457"/>
      <c r="S1209" s="458" t="str">
        <f>IF(ISTEXT($V1209), "TBD", RANK(V1209,$V1209:$V1215))</f>
        <v>TBD</v>
      </c>
      <c r="T1209" s="576">
        <v>1.0</v>
      </c>
      <c r="U1209" s="460" t="b">
        <f>Rankings!$S1209=Rankings!$T1209</f>
        <v>0</v>
      </c>
      <c r="V1209" s="553" t="str">
        <f>IF(ISTEXT(Rankings!F1209), "TBD", (RANK($F1209,$F1209:$F1215) + IF(ISTEXT($H1209), 0, (RANK($H1209,$H1209:$H1215)/10)) + (RANK($G1209,$G1209:$G1215)/100)))</f>
        <v>TBD</v>
      </c>
      <c r="W1209" s="329"/>
      <c r="Y1209" s="443"/>
    </row>
    <row r="1210" ht="15.75" customHeight="1">
      <c r="A1210" s="134"/>
      <c r="B1210" s="134"/>
      <c r="C1210" s="134"/>
      <c r="D1210" s="554" t="str">
        <f>D1209</f>
        <v/>
      </c>
      <c r="E1210" s="463" t="str">
        <f>$L$1</f>
        <v>Parker</v>
      </c>
      <c r="F1210" s="404" t="str">
        <f>IFERROR(AVERAGE(Rankings!$K1210:$R1210), "TBD")</f>
        <v>TBD</v>
      </c>
      <c r="G1210" s="404" t="str">
        <f>IFERROR(_xlfn.STDEV.P(Rankings!$K1210:$R1210), "TBD")</f>
        <v>TBD</v>
      </c>
      <c r="H1210" s="404" t="str">
        <f>IFERROR(AVERAGE(Rankings!$K1210, Rankings!$M1210:$R1210), "TBD")</f>
        <v>TBD</v>
      </c>
      <c r="I1210" s="429"/>
      <c r="J1210" s="429"/>
      <c r="K1210" s="430"/>
      <c r="L1210" s="431"/>
      <c r="M1210" s="431"/>
      <c r="N1210" s="555"/>
      <c r="O1210" s="431"/>
      <c r="P1210" s="431"/>
      <c r="Q1210" s="464"/>
      <c r="R1210" s="465"/>
      <c r="S1210" s="466" t="str">
        <f>IF(ISTEXT($V1210), "TBD", RANK(V1210,$V1209:$V1215))</f>
        <v>TBD</v>
      </c>
      <c r="T1210" s="444">
        <v>1.0</v>
      </c>
      <c r="U1210" s="468" t="b">
        <f>Rankings!$S1210=Rankings!$T1210</f>
        <v>0</v>
      </c>
      <c r="V1210" s="553" t="str">
        <f>IF(ISTEXT(Rankings!F1210), "TBD", (RANK($F1210,$F1209:$F1215) + IF(ISTEXT($H1210), 0, (RANK($H1210,$H1209:$H1215)/10)) + (RANK($G1210,$G1209:$G1215)/100)))</f>
        <v>TBD</v>
      </c>
      <c r="W1210" s="153"/>
      <c r="Y1210" s="443"/>
    </row>
    <row r="1211" ht="15.75" customHeight="1">
      <c r="A1211" s="134"/>
      <c r="B1211" s="134"/>
      <c r="C1211" s="134"/>
      <c r="D1211" s="556" t="str">
        <f>D1209</f>
        <v/>
      </c>
      <c r="E1211" s="469" t="str">
        <f>$M$1</f>
        <v>Giacomo</v>
      </c>
      <c r="F1211" s="408" t="str">
        <f>IFERROR(AVERAGE(Rankings!$K1211:$R1211), "TBD")</f>
        <v>TBD</v>
      </c>
      <c r="G1211" s="408" t="str">
        <f>IFERROR(_xlfn.STDEV.P(Rankings!$K1211:$R1211), "TBD")</f>
        <v>TBD</v>
      </c>
      <c r="H1211" s="408" t="str">
        <f>IFERROR(AVERAGE(Rankings!$K1211:$L1211, Rankings!$N1211:$R1211), "TBD")</f>
        <v>TBD</v>
      </c>
      <c r="I1211" s="437"/>
      <c r="J1211" s="437"/>
      <c r="K1211" s="430"/>
      <c r="L1211" s="431"/>
      <c r="M1211" s="431"/>
      <c r="N1211" s="555"/>
      <c r="O1211" s="431"/>
      <c r="P1211" s="431"/>
      <c r="Q1211" s="464"/>
      <c r="R1211" s="465"/>
      <c r="S1211" s="466" t="str">
        <f>IF(ISTEXT($V1211), "TBD", RANK(V1211,$V1209:$V1215))</f>
        <v>TBD</v>
      </c>
      <c r="T1211" s="467">
        <v>1.0</v>
      </c>
      <c r="U1211" s="468" t="b">
        <f>Rankings!$S1211=Rankings!$T1211</f>
        <v>0</v>
      </c>
      <c r="V1211" s="553" t="str">
        <f>IF(ISTEXT(Rankings!F1211), "TBD", (RANK($F1211,$F1209:$F1215) + IF(ISTEXT($H1211), 0, (RANK($H1211,$H1209:$H1215)/10)) + (RANK($G1211,$G1209:$G1215)/100)))</f>
        <v>TBD</v>
      </c>
      <c r="W1211" s="153"/>
      <c r="Y1211" s="443"/>
    </row>
    <row r="1212" ht="15.75" customHeight="1">
      <c r="A1212" s="134"/>
      <c r="B1212" s="134"/>
      <c r="C1212" s="134"/>
      <c r="D1212" s="557" t="str">
        <f>D1209</f>
        <v/>
      </c>
      <c r="E1212" s="470" t="str">
        <f>$N$1</f>
        <v>Rosey</v>
      </c>
      <c r="F1212" s="411" t="str">
        <f>IFERROR(AVERAGE(Rankings!$K1212:$R1212), "TBD")</f>
        <v>TBD</v>
      </c>
      <c r="G1212" s="411" t="str">
        <f>IFERROR(_xlfn.STDEV.P(Rankings!$K1212:$R1212), "TBD")</f>
        <v>TBD</v>
      </c>
      <c r="H1212" s="411" t="str">
        <f>IFERROR(AVERAGE(Rankings!$K1212:$M1212, Rankings!$O1212:$R1212), "TBD")</f>
        <v>TBD</v>
      </c>
      <c r="I1212" s="438"/>
      <c r="J1212" s="438"/>
      <c r="K1212" s="430"/>
      <c r="L1212" s="566"/>
      <c r="M1212" s="431"/>
      <c r="N1212" s="555"/>
      <c r="O1212" s="431" t="s">
        <v>1697</v>
      </c>
      <c r="P1212" s="431" t="s">
        <v>1698</v>
      </c>
      <c r="Q1212" s="464" t="s">
        <v>1766</v>
      </c>
      <c r="R1212" s="465"/>
      <c r="S1212" s="466" t="str">
        <f>IF(ISTEXT($V1212), "TBD", RANK(V1212,$V1209:$V1215))</f>
        <v>TBD</v>
      </c>
      <c r="T1212" s="467">
        <v>1.0</v>
      </c>
      <c r="U1212" s="468" t="b">
        <f>Rankings!$S1212=Rankings!$T1212</f>
        <v>0</v>
      </c>
      <c r="V1212" s="553" t="str">
        <f>IF(ISTEXT(Rankings!F1212), "TBD", (RANK($F1212,$F1209:$F1215) + IF(ISTEXT($H1212), 0, (RANK($H1212,$H1209:$H1215)/10)) + (RANK($G1212,$G1209:$G1215)/100)))</f>
        <v>TBD</v>
      </c>
      <c r="W1212" s="153"/>
      <c r="Y1212" s="443"/>
    </row>
    <row r="1213" ht="15.75" customHeight="1">
      <c r="A1213" s="134"/>
      <c r="B1213" s="134"/>
      <c r="C1213" s="134"/>
      <c r="D1213" s="561" t="str">
        <f t="shared" ref="D1213:D1215" si="174">D1209</f>
        <v/>
      </c>
      <c r="E1213" s="471" t="str">
        <f>$O$1</f>
        <v>TTAC</v>
      </c>
      <c r="F1213" s="414" t="str">
        <f>IFERROR(AVERAGE(Rankings!$K1213:$R1213), "TBD")</f>
        <v>TBD</v>
      </c>
      <c r="G1213" s="414" t="str">
        <f>IFERROR(_xlfn.STDEV.P(Rankings!$K1213:$R1213), "TBD")</f>
        <v>TBD</v>
      </c>
      <c r="H1213" s="414" t="str">
        <f>IFERROR(AVERAGE(Rankings!$K1213:$N1213, Rankings!$P1213:$R1213), "TBD")</f>
        <v>TBD</v>
      </c>
      <c r="I1213" s="439"/>
      <c r="J1213" s="439"/>
      <c r="K1213" s="430"/>
      <c r="L1213" s="431"/>
      <c r="M1213" s="431"/>
      <c r="N1213" s="555"/>
      <c r="O1213" s="431"/>
      <c r="P1213" s="431"/>
      <c r="Q1213" s="464"/>
      <c r="R1213" s="465"/>
      <c r="S1213" s="466" t="str">
        <f>IF(ISTEXT($V1213), "TBD", RANK(V1213,$V1209:$V1215))</f>
        <v>TBD</v>
      </c>
      <c r="T1213" s="467">
        <v>1.0</v>
      </c>
      <c r="U1213" s="468" t="b">
        <f>Rankings!$S1213=Rankings!$T1213</f>
        <v>0</v>
      </c>
      <c r="V1213" s="553" t="str">
        <f>IF(ISTEXT(Rankings!F1213), "TBD", (RANK($F1213,$F1209:$F1215) + IF(ISTEXT($H1213), 0, (RANK($H1213,$H1209:$H1215)/10)) + (RANK($G1213,$G1209:$G1215)/100)))</f>
        <v>TBD</v>
      </c>
      <c r="W1213" s="153"/>
      <c r="Y1213" s="443"/>
    </row>
    <row r="1214" ht="15.75" customHeight="1">
      <c r="A1214" s="134"/>
      <c r="B1214" s="134"/>
      <c r="C1214" s="134"/>
      <c r="D1214" s="562" t="str">
        <f t="shared" si="174"/>
        <v/>
      </c>
      <c r="E1214" s="472" t="str">
        <f>$P$1</f>
        <v>Weston</v>
      </c>
      <c r="F1214" s="418" t="str">
        <f>IFERROR(AVERAGE(Rankings!$K1214:$R1214), "TBD")</f>
        <v>TBD</v>
      </c>
      <c r="G1214" s="418" t="str">
        <f>IFERROR(_xlfn.STDEV.P(Rankings!$K1214:$R1214), "TBD")</f>
        <v>TBD</v>
      </c>
      <c r="H1214" s="418" t="str">
        <f>IFERROR(AVERAGE(Rankings!$K1214:$O1214, Rankings!$Q1214:$R1214), "TBD")</f>
        <v>TBD</v>
      </c>
      <c r="I1214" s="440"/>
      <c r="J1214" s="440"/>
      <c r="K1214" s="430"/>
      <c r="L1214" s="431"/>
      <c r="M1214" s="431"/>
      <c r="N1214" s="555"/>
      <c r="O1214" s="431"/>
      <c r="P1214" s="431"/>
      <c r="Q1214" s="464"/>
      <c r="R1214" s="465"/>
      <c r="S1214" s="466" t="str">
        <f>IF(ISTEXT($V1214), "TBD", RANK(V1214,$V1209:$V1215))</f>
        <v>TBD</v>
      </c>
      <c r="T1214" s="467">
        <v>1.0</v>
      </c>
      <c r="U1214" s="468" t="b">
        <f>Rankings!$S1214=Rankings!$T1214</f>
        <v>0</v>
      </c>
      <c r="V1214" s="553" t="str">
        <f>IF(ISTEXT(Rankings!F1214), "TBD", (RANK($F1214,$F1209:$F1215) + IF(ISTEXT($H1214), 0, (RANK($H1214,$H1209:$H1215)/10)) + (RANK($G1214,$G1209:$G1215)/100)))</f>
        <v>TBD</v>
      </c>
      <c r="W1214" s="153"/>
      <c r="Y1214" s="443"/>
    </row>
    <row r="1215" ht="15.75" customHeight="1">
      <c r="A1215" s="189"/>
      <c r="B1215" s="189"/>
      <c r="C1215" s="189"/>
      <c r="D1215" s="563" t="str">
        <f t="shared" si="174"/>
        <v/>
      </c>
      <c r="E1215" s="230" t="str">
        <f>$Q$1</f>
        <v>Flocco</v>
      </c>
      <c r="F1215" s="474" t="str">
        <f>IFERROR(AVERAGE(Rankings!$K1215:$R1215), "TBD")</f>
        <v>TBD</v>
      </c>
      <c r="G1215" s="474" t="str">
        <f>IFERROR(_xlfn.STDEV.P(Rankings!$K1215:$R1215), "TBD")</f>
        <v>TBD</v>
      </c>
      <c r="H1215" s="474" t="str">
        <f>IFERROR(AVERAGE(Rankings!$K1215:$P1215, Rankings!$R1215), "TBD")</f>
        <v>TBD</v>
      </c>
      <c r="I1215" s="475"/>
      <c r="J1215" s="475"/>
      <c r="K1215" s="430"/>
      <c r="L1215" s="431"/>
      <c r="M1215" s="431"/>
      <c r="N1215" s="555"/>
      <c r="O1215" s="431"/>
      <c r="P1215" s="431"/>
      <c r="Q1215" s="464"/>
      <c r="R1215" s="465"/>
      <c r="S1215" s="466" t="str">
        <f>IF(ISTEXT($V1215), "TBD", RANK(V1215,$V1209:$V1215))</f>
        <v>TBD</v>
      </c>
      <c r="T1215" s="467">
        <v>1.0</v>
      </c>
      <c r="U1215" s="468" t="b">
        <f>Rankings!$S1215=Rankings!$T1215</f>
        <v>0</v>
      </c>
      <c r="V1215" s="553" t="str">
        <f>IF(ISTEXT(Rankings!F1215), "TBD", (RANK($F1215,$F1209:$F1215) + IF(ISTEXT($H1215), 0, (RANK($H1215,$H1209:$H1215)/10)) + (RANK($G1215,$G1209:$G1215)/100)))</f>
        <v>TBD</v>
      </c>
      <c r="W1215" s="208"/>
      <c r="Y1215" s="443"/>
    </row>
    <row r="1216" ht="15.75" customHeight="1">
      <c r="A1216" s="103"/>
      <c r="B1216" s="453"/>
      <c r="C1216" s="454" t="str">
        <f t="array" ref="C1216">INDEX(Rankings!$E1216:$E1222, MATCH(1, (Rankings!$D1216:$D1222=$A1216)*(Rankings!$U1216:$U1222=TRUE()), 0))</f>
        <v>#N/A</v>
      </c>
      <c r="D1216" s="551" t="str">
        <f>A1216</f>
        <v/>
      </c>
      <c r="E1216" s="455" t="str">
        <f>$K$1</f>
        <v>Logan</v>
      </c>
      <c r="F1216" s="400" t="str">
        <f>IFERROR(AVERAGE(Rankings!$K1216:$R1216), "TBD")</f>
        <v>TBD</v>
      </c>
      <c r="G1216" s="400" t="str">
        <f>IFERROR(_xlfn.STDEV.P(Rankings!$K1216:$R1216), "TBD")</f>
        <v>TBD</v>
      </c>
      <c r="H1216" s="400" t="str">
        <f>IFERROR(AVERAGE(Rankings!$L1216:$R1216), "TBD")</f>
        <v>TBD</v>
      </c>
      <c r="I1216" s="421"/>
      <c r="J1216" s="421"/>
      <c r="K1216" s="422"/>
      <c r="L1216" s="423"/>
      <c r="M1216" s="423"/>
      <c r="N1216" s="555"/>
      <c r="O1216" s="423"/>
      <c r="P1216" s="423"/>
      <c r="Q1216" s="456"/>
      <c r="R1216" s="457"/>
      <c r="S1216" s="458" t="str">
        <f>IF(ISTEXT($V1216), "TBD", RANK(V1216,$V1216:$V1222))</f>
        <v>TBD</v>
      </c>
      <c r="T1216" s="576">
        <v>1.0</v>
      </c>
      <c r="U1216" s="460" t="b">
        <f>Rankings!$S1216=Rankings!$T1216</f>
        <v>0</v>
      </c>
      <c r="V1216" s="553" t="str">
        <f>IF(ISTEXT(Rankings!F1216), "TBD", (RANK($F1216,$F1216:$F1222) + IF(ISTEXT($H1216), 0, (RANK($H1216,$H1216:$H1222)/10)) + (RANK($G1216,$G1216:$G1222)/100)))</f>
        <v>TBD</v>
      </c>
      <c r="W1216" s="329"/>
      <c r="Y1216" s="443"/>
    </row>
    <row r="1217" ht="15.75" customHeight="1">
      <c r="A1217" s="134"/>
      <c r="B1217" s="134"/>
      <c r="C1217" s="134"/>
      <c r="D1217" s="554" t="str">
        <f>D1216</f>
        <v/>
      </c>
      <c r="E1217" s="463" t="str">
        <f>$L$1</f>
        <v>Parker</v>
      </c>
      <c r="F1217" s="404" t="str">
        <f>IFERROR(AVERAGE(Rankings!$K1217:$R1217), "TBD")</f>
        <v>TBD</v>
      </c>
      <c r="G1217" s="404" t="str">
        <f>IFERROR(_xlfn.STDEV.P(Rankings!$K1217:$R1217), "TBD")</f>
        <v>TBD</v>
      </c>
      <c r="H1217" s="404" t="str">
        <f>IFERROR(AVERAGE(Rankings!$K1217, Rankings!$M1217:$R1217), "TBD")</f>
        <v>TBD</v>
      </c>
      <c r="I1217" s="429"/>
      <c r="J1217" s="429"/>
      <c r="K1217" s="430"/>
      <c r="L1217" s="431"/>
      <c r="M1217" s="431"/>
      <c r="N1217" s="555"/>
      <c r="O1217" s="431"/>
      <c r="P1217" s="431"/>
      <c r="Q1217" s="464"/>
      <c r="R1217" s="465"/>
      <c r="S1217" s="466" t="str">
        <f>IF(ISTEXT($V1217), "TBD", RANK(V1217,$V1216:$V1222))</f>
        <v>TBD</v>
      </c>
      <c r="T1217" s="444">
        <v>1.0</v>
      </c>
      <c r="U1217" s="468" t="b">
        <f>Rankings!$S1217=Rankings!$T1217</f>
        <v>0</v>
      </c>
      <c r="V1217" s="553" t="str">
        <f>IF(ISTEXT(Rankings!F1217), "TBD", (RANK($F1217,$F1216:$F1222) + IF(ISTEXT($H1217), 0, (RANK($H1217,$H1216:$H1222)/10)) + (RANK($G1217,$G1216:$G1222)/100)))</f>
        <v>TBD</v>
      </c>
      <c r="W1217" s="153"/>
      <c r="Y1217" s="443"/>
    </row>
    <row r="1218" ht="15.75" customHeight="1">
      <c r="A1218" s="134"/>
      <c r="B1218" s="134"/>
      <c r="C1218" s="134"/>
      <c r="D1218" s="556" t="str">
        <f>D1216</f>
        <v/>
      </c>
      <c r="E1218" s="469" t="str">
        <f>$M$1</f>
        <v>Giacomo</v>
      </c>
      <c r="F1218" s="408" t="str">
        <f>IFERROR(AVERAGE(Rankings!$K1218:$R1218), "TBD")</f>
        <v>TBD</v>
      </c>
      <c r="G1218" s="408" t="str">
        <f>IFERROR(_xlfn.STDEV.P(Rankings!$K1218:$R1218), "TBD")</f>
        <v>TBD</v>
      </c>
      <c r="H1218" s="408" t="str">
        <f>IFERROR(AVERAGE(Rankings!$K1218:$L1218, Rankings!$N1218:$R1218), "TBD")</f>
        <v>TBD</v>
      </c>
      <c r="I1218" s="437"/>
      <c r="J1218" s="437"/>
      <c r="K1218" s="430"/>
      <c r="L1218" s="431"/>
      <c r="M1218" s="431"/>
      <c r="N1218" s="555"/>
      <c r="O1218" s="431"/>
      <c r="P1218" s="431"/>
      <c r="Q1218" s="464"/>
      <c r="R1218" s="465"/>
      <c r="S1218" s="466" t="str">
        <f>IF(ISTEXT($V1218), "TBD", RANK(V1218,$V1216:$V1222))</f>
        <v>TBD</v>
      </c>
      <c r="T1218" s="467">
        <v>1.0</v>
      </c>
      <c r="U1218" s="468" t="b">
        <f>Rankings!$S1218=Rankings!$T1218</f>
        <v>0</v>
      </c>
      <c r="V1218" s="553" t="str">
        <f>IF(ISTEXT(Rankings!F1218), "TBD", (RANK($F1218,$F1216:$F1222) + IF(ISTEXT($H1218), 0, (RANK($H1218,$H1216:$H1222)/10)) + (RANK($G1218,$G1216:$G1222)/100)))</f>
        <v>TBD</v>
      </c>
      <c r="W1218" s="153"/>
      <c r="Y1218" s="443"/>
    </row>
    <row r="1219" ht="15.75" customHeight="1">
      <c r="A1219" s="134"/>
      <c r="B1219" s="134"/>
      <c r="C1219" s="134"/>
      <c r="D1219" s="557" t="str">
        <f>D1216</f>
        <v/>
      </c>
      <c r="E1219" s="470" t="str">
        <f>$N$1</f>
        <v>Rosey</v>
      </c>
      <c r="F1219" s="411" t="str">
        <f>IFERROR(AVERAGE(Rankings!$K1219:$R1219), "TBD")</f>
        <v>TBD</v>
      </c>
      <c r="G1219" s="411" t="str">
        <f>IFERROR(_xlfn.STDEV.P(Rankings!$K1219:$R1219), "TBD")</f>
        <v>TBD</v>
      </c>
      <c r="H1219" s="411" t="str">
        <f>IFERROR(AVERAGE(Rankings!$K1219:$M1219, Rankings!$O1219:$R1219), "TBD")</f>
        <v>TBD</v>
      </c>
      <c r="I1219" s="438"/>
      <c r="J1219" s="438"/>
      <c r="K1219" s="430"/>
      <c r="L1219" s="566"/>
      <c r="M1219" s="431"/>
      <c r="N1219" s="555"/>
      <c r="O1219" s="431" t="s">
        <v>1697</v>
      </c>
      <c r="P1219" s="431" t="s">
        <v>1698</v>
      </c>
      <c r="Q1219" s="464" t="s">
        <v>1766</v>
      </c>
      <c r="R1219" s="465"/>
      <c r="S1219" s="466" t="str">
        <f>IF(ISTEXT($V1219), "TBD", RANK(V1219,$V1216:$V1222))</f>
        <v>TBD</v>
      </c>
      <c r="T1219" s="467">
        <v>1.0</v>
      </c>
      <c r="U1219" s="468" t="b">
        <f>Rankings!$S1219=Rankings!$T1219</f>
        <v>0</v>
      </c>
      <c r="V1219" s="553" t="str">
        <f>IF(ISTEXT(Rankings!F1219), "TBD", (RANK($F1219,$F1216:$F1222) + IF(ISTEXT($H1219), 0, (RANK($H1219,$H1216:$H1222)/10)) + (RANK($G1219,$G1216:$G1222)/100)))</f>
        <v>TBD</v>
      </c>
      <c r="W1219" s="153"/>
      <c r="Y1219" s="443"/>
    </row>
    <row r="1220" ht="15.75" customHeight="1">
      <c r="A1220" s="134"/>
      <c r="B1220" s="134"/>
      <c r="C1220" s="134"/>
      <c r="D1220" s="561" t="str">
        <f t="shared" ref="D1220:D1222" si="175">D1216</f>
        <v/>
      </c>
      <c r="E1220" s="471" t="str">
        <f>$O$1</f>
        <v>TTAC</v>
      </c>
      <c r="F1220" s="414" t="str">
        <f>IFERROR(AVERAGE(Rankings!$K1220:$R1220), "TBD")</f>
        <v>TBD</v>
      </c>
      <c r="G1220" s="414" t="str">
        <f>IFERROR(_xlfn.STDEV.P(Rankings!$K1220:$R1220), "TBD")</f>
        <v>TBD</v>
      </c>
      <c r="H1220" s="414" t="str">
        <f>IFERROR(AVERAGE(Rankings!$K1220:$N1220, Rankings!$P1220:$R1220), "TBD")</f>
        <v>TBD</v>
      </c>
      <c r="I1220" s="439"/>
      <c r="J1220" s="439"/>
      <c r="K1220" s="430"/>
      <c r="L1220" s="431"/>
      <c r="M1220" s="431"/>
      <c r="N1220" s="555"/>
      <c r="O1220" s="431"/>
      <c r="P1220" s="431"/>
      <c r="Q1220" s="464"/>
      <c r="R1220" s="465"/>
      <c r="S1220" s="466" t="str">
        <f>IF(ISTEXT($V1220), "TBD", RANK(V1220,$V1216:$V1222))</f>
        <v>TBD</v>
      </c>
      <c r="T1220" s="467">
        <v>1.0</v>
      </c>
      <c r="U1220" s="468" t="b">
        <f>Rankings!$S1220=Rankings!$T1220</f>
        <v>0</v>
      </c>
      <c r="V1220" s="553" t="str">
        <f>IF(ISTEXT(Rankings!F1220), "TBD", (RANK($F1220,$F1216:$F1222) + IF(ISTEXT($H1220), 0, (RANK($H1220,$H1216:$H1222)/10)) + (RANK($G1220,$G1216:$G1222)/100)))</f>
        <v>TBD</v>
      </c>
      <c r="W1220" s="153"/>
      <c r="Y1220" s="443"/>
    </row>
    <row r="1221" ht="15.75" customHeight="1">
      <c r="A1221" s="134"/>
      <c r="B1221" s="134"/>
      <c r="C1221" s="134"/>
      <c r="D1221" s="562" t="str">
        <f t="shared" si="175"/>
        <v/>
      </c>
      <c r="E1221" s="472" t="str">
        <f>$P$1</f>
        <v>Weston</v>
      </c>
      <c r="F1221" s="418" t="str">
        <f>IFERROR(AVERAGE(Rankings!$K1221:$R1221), "TBD")</f>
        <v>TBD</v>
      </c>
      <c r="G1221" s="418" t="str">
        <f>IFERROR(_xlfn.STDEV.P(Rankings!$K1221:$R1221), "TBD")</f>
        <v>TBD</v>
      </c>
      <c r="H1221" s="418" t="str">
        <f>IFERROR(AVERAGE(Rankings!$K1221:$O1221, Rankings!$Q1221:$R1221), "TBD")</f>
        <v>TBD</v>
      </c>
      <c r="I1221" s="440"/>
      <c r="J1221" s="440"/>
      <c r="K1221" s="430"/>
      <c r="L1221" s="431"/>
      <c r="M1221" s="431"/>
      <c r="N1221" s="555"/>
      <c r="O1221" s="431"/>
      <c r="P1221" s="431"/>
      <c r="Q1221" s="464"/>
      <c r="R1221" s="465"/>
      <c r="S1221" s="466" t="str">
        <f>IF(ISTEXT($V1221), "TBD", RANK(V1221,$V1216:$V1222))</f>
        <v>TBD</v>
      </c>
      <c r="T1221" s="467">
        <v>1.0</v>
      </c>
      <c r="U1221" s="468" t="b">
        <f>Rankings!$S1221=Rankings!$T1221</f>
        <v>0</v>
      </c>
      <c r="V1221" s="553" t="str">
        <f>IF(ISTEXT(Rankings!F1221), "TBD", (RANK($F1221,$F1216:$F1222) + IF(ISTEXT($H1221), 0, (RANK($H1221,$H1216:$H1222)/10)) + (RANK($G1221,$G1216:$G1222)/100)))</f>
        <v>TBD</v>
      </c>
      <c r="W1221" s="153"/>
      <c r="Y1221" s="443"/>
    </row>
    <row r="1222" ht="15.75" customHeight="1">
      <c r="A1222" s="189"/>
      <c r="B1222" s="189"/>
      <c r="C1222" s="189"/>
      <c r="D1222" s="563" t="str">
        <f t="shared" si="175"/>
        <v/>
      </c>
      <c r="E1222" s="230" t="str">
        <f>$Q$1</f>
        <v>Flocco</v>
      </c>
      <c r="F1222" s="474" t="str">
        <f>IFERROR(AVERAGE(Rankings!$K1222:$R1222), "TBD")</f>
        <v>TBD</v>
      </c>
      <c r="G1222" s="474" t="str">
        <f>IFERROR(_xlfn.STDEV.P(Rankings!$K1222:$R1222), "TBD")</f>
        <v>TBD</v>
      </c>
      <c r="H1222" s="474" t="str">
        <f>IFERROR(AVERAGE(Rankings!$K1222:$P1222, Rankings!$R1222), "TBD")</f>
        <v>TBD</v>
      </c>
      <c r="I1222" s="475"/>
      <c r="J1222" s="475"/>
      <c r="K1222" s="430"/>
      <c r="L1222" s="431"/>
      <c r="M1222" s="431"/>
      <c r="N1222" s="555"/>
      <c r="O1222" s="431"/>
      <c r="P1222" s="431"/>
      <c r="Q1222" s="464"/>
      <c r="R1222" s="465"/>
      <c r="S1222" s="466" t="str">
        <f>IF(ISTEXT($V1222), "TBD", RANK(V1222,$V1216:$V1222))</f>
        <v>TBD</v>
      </c>
      <c r="T1222" s="467">
        <v>1.0</v>
      </c>
      <c r="U1222" s="468" t="b">
        <f>Rankings!$S1222=Rankings!$T1222</f>
        <v>0</v>
      </c>
      <c r="V1222" s="553" t="str">
        <f>IF(ISTEXT(Rankings!F1222), "TBD", (RANK($F1222,$F1216:$F1222) + IF(ISTEXT($H1222), 0, (RANK($H1222,$H1216:$H1222)/10)) + (RANK($G1222,$G1216:$G1222)/100)))</f>
        <v>TBD</v>
      </c>
      <c r="W1222" s="208"/>
      <c r="Y1222" s="443"/>
    </row>
    <row r="1223" ht="15.75" customHeight="1">
      <c r="A1223" s="103"/>
      <c r="B1223" s="453"/>
      <c r="C1223" s="454" t="str">
        <f t="array" ref="C1223">INDEX(Rankings!$E1223:$E1229, MATCH(1, (Rankings!$D1223:$D1229=$A1223)*(Rankings!$U1223:$U1229=TRUE()), 0))</f>
        <v>#N/A</v>
      </c>
      <c r="D1223" s="551" t="str">
        <f>A1223</f>
        <v/>
      </c>
      <c r="E1223" s="455" t="str">
        <f>$K$1</f>
        <v>Logan</v>
      </c>
      <c r="F1223" s="400" t="str">
        <f>IFERROR(AVERAGE(Rankings!$K1223:$R1223), "TBD")</f>
        <v>TBD</v>
      </c>
      <c r="G1223" s="400" t="str">
        <f>IFERROR(_xlfn.STDEV.P(Rankings!$K1223:$R1223), "TBD")</f>
        <v>TBD</v>
      </c>
      <c r="H1223" s="400" t="str">
        <f>IFERROR(AVERAGE(Rankings!$L1223:$R1223), "TBD")</f>
        <v>TBD</v>
      </c>
      <c r="I1223" s="421"/>
      <c r="J1223" s="421"/>
      <c r="K1223" s="422"/>
      <c r="L1223" s="423"/>
      <c r="M1223" s="423"/>
      <c r="N1223" s="555"/>
      <c r="O1223" s="423"/>
      <c r="P1223" s="423"/>
      <c r="Q1223" s="456"/>
      <c r="R1223" s="457"/>
      <c r="S1223" s="458" t="str">
        <f>IF(ISTEXT($V1223), "TBD", RANK(V1223,$V1223:$V1229))</f>
        <v>TBD</v>
      </c>
      <c r="T1223" s="576">
        <v>1.0</v>
      </c>
      <c r="U1223" s="460" t="b">
        <f>Rankings!$S1223=Rankings!$T1223</f>
        <v>0</v>
      </c>
      <c r="V1223" s="553" t="str">
        <f>IF(ISTEXT(Rankings!F1223), "TBD", (RANK($F1223,$F1223:$F1229) + IF(ISTEXT($H1223), 0, (RANK($H1223,$H1223:$H1229)/10)) + (RANK($G1223,$G1223:$G1229)/100)))</f>
        <v>TBD</v>
      </c>
      <c r="W1223" s="329"/>
      <c r="Y1223" s="443"/>
    </row>
    <row r="1224" ht="15.75" customHeight="1">
      <c r="A1224" s="134"/>
      <c r="B1224" s="134"/>
      <c r="C1224" s="134"/>
      <c r="D1224" s="554" t="str">
        <f>D1223</f>
        <v/>
      </c>
      <c r="E1224" s="463" t="str">
        <f>$L$1</f>
        <v>Parker</v>
      </c>
      <c r="F1224" s="404" t="str">
        <f>IFERROR(AVERAGE(Rankings!$K1224:$R1224), "TBD")</f>
        <v>TBD</v>
      </c>
      <c r="G1224" s="404" t="str">
        <f>IFERROR(_xlfn.STDEV.P(Rankings!$K1224:$R1224), "TBD")</f>
        <v>TBD</v>
      </c>
      <c r="H1224" s="404" t="str">
        <f>IFERROR(AVERAGE(Rankings!$K1224, Rankings!$M1224:$R1224), "TBD")</f>
        <v>TBD</v>
      </c>
      <c r="I1224" s="429"/>
      <c r="J1224" s="429"/>
      <c r="K1224" s="430"/>
      <c r="L1224" s="431"/>
      <c r="M1224" s="431"/>
      <c r="N1224" s="555"/>
      <c r="O1224" s="431"/>
      <c r="P1224" s="431"/>
      <c r="Q1224" s="464"/>
      <c r="R1224" s="465"/>
      <c r="S1224" s="466" t="str">
        <f>IF(ISTEXT($V1224), "TBD", RANK(V1224,$V1223:$V1229))</f>
        <v>TBD</v>
      </c>
      <c r="T1224" s="444">
        <v>1.0</v>
      </c>
      <c r="U1224" s="468" t="b">
        <f>Rankings!$S1224=Rankings!$T1224</f>
        <v>0</v>
      </c>
      <c r="V1224" s="553" t="str">
        <f>IF(ISTEXT(Rankings!F1224), "TBD", (RANK($F1224,$F1223:$F1229) + IF(ISTEXT($H1224), 0, (RANK($H1224,$H1223:$H1229)/10)) + (RANK($G1224,$G1223:$G1229)/100)))</f>
        <v>TBD</v>
      </c>
      <c r="W1224" s="153"/>
      <c r="Y1224" s="443"/>
    </row>
    <row r="1225" ht="15.75" customHeight="1">
      <c r="A1225" s="134"/>
      <c r="B1225" s="134"/>
      <c r="C1225" s="134"/>
      <c r="D1225" s="556" t="str">
        <f>D1223</f>
        <v/>
      </c>
      <c r="E1225" s="469" t="str">
        <f>$M$1</f>
        <v>Giacomo</v>
      </c>
      <c r="F1225" s="408" t="str">
        <f>IFERROR(AVERAGE(Rankings!$K1225:$R1225), "TBD")</f>
        <v>TBD</v>
      </c>
      <c r="G1225" s="408" t="str">
        <f>IFERROR(_xlfn.STDEV.P(Rankings!$K1225:$R1225), "TBD")</f>
        <v>TBD</v>
      </c>
      <c r="H1225" s="408" t="str">
        <f>IFERROR(AVERAGE(Rankings!$K1225:$L1225, Rankings!$N1225:$R1225), "TBD")</f>
        <v>TBD</v>
      </c>
      <c r="I1225" s="437"/>
      <c r="J1225" s="437"/>
      <c r="K1225" s="430"/>
      <c r="L1225" s="431"/>
      <c r="M1225" s="431"/>
      <c r="N1225" s="555"/>
      <c r="O1225" s="431"/>
      <c r="P1225" s="431"/>
      <c r="Q1225" s="464"/>
      <c r="R1225" s="465"/>
      <c r="S1225" s="466" t="str">
        <f>IF(ISTEXT($V1225), "TBD", RANK(V1225,$V1223:$V1229))</f>
        <v>TBD</v>
      </c>
      <c r="T1225" s="467">
        <v>1.0</v>
      </c>
      <c r="U1225" s="468" t="b">
        <f>Rankings!$S1225=Rankings!$T1225</f>
        <v>0</v>
      </c>
      <c r="V1225" s="553" t="str">
        <f>IF(ISTEXT(Rankings!F1225), "TBD", (RANK($F1225,$F1223:$F1229) + IF(ISTEXT($H1225), 0, (RANK($H1225,$H1223:$H1229)/10)) + (RANK($G1225,$G1223:$G1229)/100)))</f>
        <v>TBD</v>
      </c>
      <c r="W1225" s="153"/>
      <c r="Y1225" s="443"/>
    </row>
    <row r="1226" ht="15.75" customHeight="1">
      <c r="A1226" s="134"/>
      <c r="B1226" s="134"/>
      <c r="C1226" s="134"/>
      <c r="D1226" s="557" t="str">
        <f>D1223</f>
        <v/>
      </c>
      <c r="E1226" s="470" t="str">
        <f>$N$1</f>
        <v>Rosey</v>
      </c>
      <c r="F1226" s="411" t="str">
        <f>IFERROR(AVERAGE(Rankings!$K1226:$R1226), "TBD")</f>
        <v>TBD</v>
      </c>
      <c r="G1226" s="411" t="str">
        <f>IFERROR(_xlfn.STDEV.P(Rankings!$K1226:$R1226), "TBD")</f>
        <v>TBD</v>
      </c>
      <c r="H1226" s="411" t="str">
        <f>IFERROR(AVERAGE(Rankings!$K1226:$M1226, Rankings!$O1226:$R1226), "TBD")</f>
        <v>TBD</v>
      </c>
      <c r="I1226" s="438"/>
      <c r="J1226" s="438"/>
      <c r="K1226" s="430"/>
      <c r="L1226" s="566"/>
      <c r="M1226" s="431"/>
      <c r="N1226" s="555"/>
      <c r="O1226" s="431" t="s">
        <v>1697</v>
      </c>
      <c r="P1226" s="431" t="s">
        <v>1698</v>
      </c>
      <c r="Q1226" s="464" t="s">
        <v>1766</v>
      </c>
      <c r="R1226" s="465"/>
      <c r="S1226" s="466" t="str">
        <f>IF(ISTEXT($V1226), "TBD", RANK(V1226,$V1223:$V1229))</f>
        <v>TBD</v>
      </c>
      <c r="T1226" s="467">
        <v>1.0</v>
      </c>
      <c r="U1226" s="468" t="b">
        <f>Rankings!$S1226=Rankings!$T1226</f>
        <v>0</v>
      </c>
      <c r="V1226" s="553" t="str">
        <f>IF(ISTEXT(Rankings!F1226), "TBD", (RANK($F1226,$F1223:$F1229) + IF(ISTEXT($H1226), 0, (RANK($H1226,$H1223:$H1229)/10)) + (RANK($G1226,$G1223:$G1229)/100)))</f>
        <v>TBD</v>
      </c>
      <c r="W1226" s="153"/>
      <c r="Y1226" s="443"/>
    </row>
    <row r="1227" ht="15.75" customHeight="1">
      <c r="A1227" s="134"/>
      <c r="B1227" s="134"/>
      <c r="C1227" s="134"/>
      <c r="D1227" s="561" t="str">
        <f t="shared" ref="D1227:D1229" si="176">D1223</f>
        <v/>
      </c>
      <c r="E1227" s="471" t="str">
        <f>$O$1</f>
        <v>TTAC</v>
      </c>
      <c r="F1227" s="414" t="str">
        <f>IFERROR(AVERAGE(Rankings!$K1227:$R1227), "TBD")</f>
        <v>TBD</v>
      </c>
      <c r="G1227" s="414" t="str">
        <f>IFERROR(_xlfn.STDEV.P(Rankings!$K1227:$R1227), "TBD")</f>
        <v>TBD</v>
      </c>
      <c r="H1227" s="414" t="str">
        <f>IFERROR(AVERAGE(Rankings!$K1227:$N1227, Rankings!$P1227:$R1227), "TBD")</f>
        <v>TBD</v>
      </c>
      <c r="I1227" s="439"/>
      <c r="J1227" s="439"/>
      <c r="K1227" s="430"/>
      <c r="L1227" s="431"/>
      <c r="M1227" s="431"/>
      <c r="N1227" s="555"/>
      <c r="O1227" s="431"/>
      <c r="P1227" s="431"/>
      <c r="Q1227" s="464"/>
      <c r="R1227" s="465"/>
      <c r="S1227" s="466" t="str">
        <f>IF(ISTEXT($V1227), "TBD", RANK(V1227,$V1223:$V1229))</f>
        <v>TBD</v>
      </c>
      <c r="T1227" s="467">
        <v>1.0</v>
      </c>
      <c r="U1227" s="468" t="b">
        <f>Rankings!$S1227=Rankings!$T1227</f>
        <v>0</v>
      </c>
      <c r="V1227" s="553" t="str">
        <f>IF(ISTEXT(Rankings!F1227), "TBD", (RANK($F1227,$F1223:$F1229) + IF(ISTEXT($H1227), 0, (RANK($H1227,$H1223:$H1229)/10)) + (RANK($G1227,$G1223:$G1229)/100)))</f>
        <v>TBD</v>
      </c>
      <c r="W1227" s="153"/>
      <c r="Y1227" s="443"/>
    </row>
    <row r="1228" ht="15.75" customHeight="1">
      <c r="A1228" s="134"/>
      <c r="B1228" s="134"/>
      <c r="C1228" s="134"/>
      <c r="D1228" s="562" t="str">
        <f t="shared" si="176"/>
        <v/>
      </c>
      <c r="E1228" s="472" t="str">
        <f>$P$1</f>
        <v>Weston</v>
      </c>
      <c r="F1228" s="418" t="str">
        <f>IFERROR(AVERAGE(Rankings!$K1228:$R1228), "TBD")</f>
        <v>TBD</v>
      </c>
      <c r="G1228" s="418" t="str">
        <f>IFERROR(_xlfn.STDEV.P(Rankings!$K1228:$R1228), "TBD")</f>
        <v>TBD</v>
      </c>
      <c r="H1228" s="418" t="str">
        <f>IFERROR(AVERAGE(Rankings!$K1228:$O1228, Rankings!$Q1228:$R1228), "TBD")</f>
        <v>TBD</v>
      </c>
      <c r="I1228" s="440"/>
      <c r="J1228" s="440"/>
      <c r="K1228" s="430"/>
      <c r="L1228" s="431"/>
      <c r="M1228" s="431"/>
      <c r="N1228" s="555"/>
      <c r="O1228" s="431"/>
      <c r="P1228" s="431"/>
      <c r="Q1228" s="464"/>
      <c r="R1228" s="465"/>
      <c r="S1228" s="466" t="str">
        <f>IF(ISTEXT($V1228), "TBD", RANK(V1228,$V1223:$V1229))</f>
        <v>TBD</v>
      </c>
      <c r="T1228" s="467">
        <v>1.0</v>
      </c>
      <c r="U1228" s="468" t="b">
        <f>Rankings!$S1228=Rankings!$T1228</f>
        <v>0</v>
      </c>
      <c r="V1228" s="553" t="str">
        <f>IF(ISTEXT(Rankings!F1228), "TBD", (RANK($F1228,$F1223:$F1229) + IF(ISTEXT($H1228), 0, (RANK($H1228,$H1223:$H1229)/10)) + (RANK($G1228,$G1223:$G1229)/100)))</f>
        <v>TBD</v>
      </c>
      <c r="W1228" s="153"/>
      <c r="Y1228" s="443"/>
    </row>
    <row r="1229" ht="15.75" customHeight="1">
      <c r="A1229" s="189"/>
      <c r="B1229" s="189"/>
      <c r="C1229" s="189"/>
      <c r="D1229" s="563" t="str">
        <f t="shared" si="176"/>
        <v/>
      </c>
      <c r="E1229" s="230" t="str">
        <f>$Q$1</f>
        <v>Flocco</v>
      </c>
      <c r="F1229" s="474" t="str">
        <f>IFERROR(AVERAGE(Rankings!$K1229:$R1229), "TBD")</f>
        <v>TBD</v>
      </c>
      <c r="G1229" s="474" t="str">
        <f>IFERROR(_xlfn.STDEV.P(Rankings!$K1229:$R1229), "TBD")</f>
        <v>TBD</v>
      </c>
      <c r="H1229" s="474" t="str">
        <f>IFERROR(AVERAGE(Rankings!$K1229:$P1229, Rankings!$R1229), "TBD")</f>
        <v>TBD</v>
      </c>
      <c r="I1229" s="475"/>
      <c r="J1229" s="475"/>
      <c r="K1229" s="430"/>
      <c r="L1229" s="431"/>
      <c r="M1229" s="431"/>
      <c r="N1229" s="555"/>
      <c r="O1229" s="431"/>
      <c r="P1229" s="431"/>
      <c r="Q1229" s="464"/>
      <c r="R1229" s="465"/>
      <c r="S1229" s="466" t="str">
        <f>IF(ISTEXT($V1229), "TBD", RANK(V1229,$V1223:$V1229))</f>
        <v>TBD</v>
      </c>
      <c r="T1229" s="467">
        <v>1.0</v>
      </c>
      <c r="U1229" s="468" t="b">
        <f>Rankings!$S1229=Rankings!$T1229</f>
        <v>0</v>
      </c>
      <c r="V1229" s="553" t="str">
        <f>IF(ISTEXT(Rankings!F1229), "TBD", (RANK($F1229,$F1223:$F1229) + IF(ISTEXT($H1229), 0, (RANK($H1229,$H1223:$H1229)/10)) + (RANK($G1229,$G1223:$G1229)/100)))</f>
        <v>TBD</v>
      </c>
      <c r="W1229" s="208"/>
      <c r="Y1229" s="443"/>
    </row>
    <row r="1230" ht="15.75" customHeight="1">
      <c r="A1230" s="103"/>
      <c r="B1230" s="453"/>
      <c r="C1230" s="454" t="str">
        <f t="array" ref="C1230">INDEX(Rankings!$E1230:$E1236, MATCH(1, (Rankings!$D1230:$D1236=$A1230)*(Rankings!$U1230:$U1236=TRUE()), 0))</f>
        <v>#N/A</v>
      </c>
      <c r="D1230" s="551" t="str">
        <f>A1230</f>
        <v/>
      </c>
      <c r="E1230" s="455" t="str">
        <f>$K$1</f>
        <v>Logan</v>
      </c>
      <c r="F1230" s="400" t="str">
        <f>IFERROR(AVERAGE(Rankings!$K1230:$R1230), "TBD")</f>
        <v>TBD</v>
      </c>
      <c r="G1230" s="400" t="str">
        <f>IFERROR(_xlfn.STDEV.P(Rankings!$K1230:$R1230), "TBD")</f>
        <v>TBD</v>
      </c>
      <c r="H1230" s="400" t="str">
        <f>IFERROR(AVERAGE(Rankings!$L1230:$R1230), "TBD")</f>
        <v>TBD</v>
      </c>
      <c r="I1230" s="421"/>
      <c r="J1230" s="421"/>
      <c r="K1230" s="422"/>
      <c r="L1230" s="423"/>
      <c r="M1230" s="423"/>
      <c r="N1230" s="555"/>
      <c r="O1230" s="423"/>
      <c r="P1230" s="423"/>
      <c r="Q1230" s="456"/>
      <c r="R1230" s="457"/>
      <c r="S1230" s="458" t="str">
        <f>IF(ISTEXT($V1230), "TBD", RANK(V1230,$V1230:$V1236))</f>
        <v>TBD</v>
      </c>
      <c r="T1230" s="576">
        <v>1.0</v>
      </c>
      <c r="U1230" s="460" t="b">
        <f>Rankings!$S1230=Rankings!$T1230</f>
        <v>0</v>
      </c>
      <c r="V1230" s="553" t="str">
        <f>IF(ISTEXT(Rankings!F1230), "TBD", (RANK($F1230,$F1230:$F1236) + IF(ISTEXT($H1230), 0, (RANK($H1230,$H1230:$H1236)/10)) + (RANK($G1230,$G1230:$G1236)/100)))</f>
        <v>TBD</v>
      </c>
      <c r="W1230" s="329"/>
      <c r="Y1230" s="443"/>
    </row>
    <row r="1231" ht="15.75" customHeight="1">
      <c r="A1231" s="134"/>
      <c r="B1231" s="134"/>
      <c r="C1231" s="134"/>
      <c r="D1231" s="554" t="str">
        <f>D1230</f>
        <v/>
      </c>
      <c r="E1231" s="463" t="str">
        <f>$L$1</f>
        <v>Parker</v>
      </c>
      <c r="F1231" s="404" t="str">
        <f>IFERROR(AVERAGE(Rankings!$K1231:$R1231), "TBD")</f>
        <v>TBD</v>
      </c>
      <c r="G1231" s="404" t="str">
        <f>IFERROR(_xlfn.STDEV.P(Rankings!$K1231:$R1231), "TBD")</f>
        <v>TBD</v>
      </c>
      <c r="H1231" s="404" t="str">
        <f>IFERROR(AVERAGE(Rankings!$K1231, Rankings!$M1231:$R1231), "TBD")</f>
        <v>TBD</v>
      </c>
      <c r="I1231" s="429"/>
      <c r="J1231" s="429"/>
      <c r="K1231" s="430"/>
      <c r="L1231" s="431"/>
      <c r="M1231" s="431"/>
      <c r="N1231" s="555"/>
      <c r="O1231" s="431"/>
      <c r="P1231" s="431"/>
      <c r="Q1231" s="464"/>
      <c r="R1231" s="465"/>
      <c r="S1231" s="466" t="str">
        <f>IF(ISTEXT($V1231), "TBD", RANK(V1231,$V1230:$V1236))</f>
        <v>TBD</v>
      </c>
      <c r="T1231" s="444">
        <v>1.0</v>
      </c>
      <c r="U1231" s="468" t="b">
        <f>Rankings!$S1231=Rankings!$T1231</f>
        <v>0</v>
      </c>
      <c r="V1231" s="553" t="str">
        <f>IF(ISTEXT(Rankings!F1231), "TBD", (RANK($F1231,$F1230:$F1236) + IF(ISTEXT($H1231), 0, (RANK($H1231,$H1230:$H1236)/10)) + (RANK($G1231,$G1230:$G1236)/100)))</f>
        <v>TBD</v>
      </c>
      <c r="W1231" s="153"/>
      <c r="Y1231" s="443"/>
    </row>
    <row r="1232" ht="15.75" customHeight="1">
      <c r="A1232" s="134"/>
      <c r="B1232" s="134"/>
      <c r="C1232" s="134"/>
      <c r="D1232" s="556" t="str">
        <f>D1230</f>
        <v/>
      </c>
      <c r="E1232" s="469" t="str">
        <f>$M$1</f>
        <v>Giacomo</v>
      </c>
      <c r="F1232" s="408" t="str">
        <f>IFERROR(AVERAGE(Rankings!$K1232:$R1232), "TBD")</f>
        <v>TBD</v>
      </c>
      <c r="G1232" s="408" t="str">
        <f>IFERROR(_xlfn.STDEV.P(Rankings!$K1232:$R1232), "TBD")</f>
        <v>TBD</v>
      </c>
      <c r="H1232" s="408" t="str">
        <f>IFERROR(AVERAGE(Rankings!$K1232:$L1232, Rankings!$N1232:$R1232), "TBD")</f>
        <v>TBD</v>
      </c>
      <c r="I1232" s="437"/>
      <c r="J1232" s="437"/>
      <c r="K1232" s="430"/>
      <c r="L1232" s="431"/>
      <c r="M1232" s="431"/>
      <c r="N1232" s="555"/>
      <c r="O1232" s="431"/>
      <c r="P1232" s="431"/>
      <c r="Q1232" s="464"/>
      <c r="R1232" s="465"/>
      <c r="S1232" s="466" t="str">
        <f>IF(ISTEXT($V1232), "TBD", RANK(V1232,$V1230:$V1236))</f>
        <v>TBD</v>
      </c>
      <c r="T1232" s="467">
        <v>1.0</v>
      </c>
      <c r="U1232" s="468" t="b">
        <f>Rankings!$S1232=Rankings!$T1232</f>
        <v>0</v>
      </c>
      <c r="V1232" s="553" t="str">
        <f>IF(ISTEXT(Rankings!F1232), "TBD", (RANK($F1232,$F1230:$F1236) + IF(ISTEXT($H1232), 0, (RANK($H1232,$H1230:$H1236)/10)) + (RANK($G1232,$G1230:$G1236)/100)))</f>
        <v>TBD</v>
      </c>
      <c r="W1232" s="153"/>
      <c r="Y1232" s="443"/>
    </row>
    <row r="1233" ht="15.75" customHeight="1">
      <c r="A1233" s="134"/>
      <c r="B1233" s="134"/>
      <c r="C1233" s="134"/>
      <c r="D1233" s="557" t="str">
        <f>D1230</f>
        <v/>
      </c>
      <c r="E1233" s="470" t="str">
        <f>$N$1</f>
        <v>Rosey</v>
      </c>
      <c r="F1233" s="411" t="str">
        <f>IFERROR(AVERAGE(Rankings!$K1233:$R1233), "TBD")</f>
        <v>TBD</v>
      </c>
      <c r="G1233" s="411" t="str">
        <f>IFERROR(_xlfn.STDEV.P(Rankings!$K1233:$R1233), "TBD")</f>
        <v>TBD</v>
      </c>
      <c r="H1233" s="411" t="str">
        <f>IFERROR(AVERAGE(Rankings!$K1233:$M1233, Rankings!$O1233:$R1233), "TBD")</f>
        <v>TBD</v>
      </c>
      <c r="I1233" s="438"/>
      <c r="J1233" s="438"/>
      <c r="K1233" s="430"/>
      <c r="L1233" s="566"/>
      <c r="M1233" s="431"/>
      <c r="N1233" s="555"/>
      <c r="O1233" s="431" t="s">
        <v>1697</v>
      </c>
      <c r="P1233" s="431" t="s">
        <v>1698</v>
      </c>
      <c r="Q1233" s="464" t="s">
        <v>1766</v>
      </c>
      <c r="R1233" s="465"/>
      <c r="S1233" s="466" t="str">
        <f>IF(ISTEXT($V1233), "TBD", RANK(V1233,$V1230:$V1236))</f>
        <v>TBD</v>
      </c>
      <c r="T1233" s="467">
        <v>1.0</v>
      </c>
      <c r="U1233" s="468" t="b">
        <f>Rankings!$S1233=Rankings!$T1233</f>
        <v>0</v>
      </c>
      <c r="V1233" s="553" t="str">
        <f>IF(ISTEXT(Rankings!F1233), "TBD", (RANK($F1233,$F1230:$F1236) + IF(ISTEXT($H1233), 0, (RANK($H1233,$H1230:$H1236)/10)) + (RANK($G1233,$G1230:$G1236)/100)))</f>
        <v>TBD</v>
      </c>
      <c r="W1233" s="153"/>
      <c r="Y1233" s="443"/>
    </row>
    <row r="1234" ht="15.75" customHeight="1">
      <c r="A1234" s="134"/>
      <c r="B1234" s="134"/>
      <c r="C1234" s="134"/>
      <c r="D1234" s="561" t="str">
        <f t="shared" ref="D1234:D1236" si="177">D1230</f>
        <v/>
      </c>
      <c r="E1234" s="471" t="str">
        <f>$O$1</f>
        <v>TTAC</v>
      </c>
      <c r="F1234" s="414" t="str">
        <f>IFERROR(AVERAGE(Rankings!$K1234:$R1234), "TBD")</f>
        <v>TBD</v>
      </c>
      <c r="G1234" s="414" t="str">
        <f>IFERROR(_xlfn.STDEV.P(Rankings!$K1234:$R1234), "TBD")</f>
        <v>TBD</v>
      </c>
      <c r="H1234" s="414" t="str">
        <f>IFERROR(AVERAGE(Rankings!$K1234:$N1234, Rankings!$P1234:$R1234), "TBD")</f>
        <v>TBD</v>
      </c>
      <c r="I1234" s="439"/>
      <c r="J1234" s="439"/>
      <c r="K1234" s="430"/>
      <c r="L1234" s="431"/>
      <c r="M1234" s="431"/>
      <c r="N1234" s="555"/>
      <c r="O1234" s="431"/>
      <c r="P1234" s="431"/>
      <c r="Q1234" s="464"/>
      <c r="R1234" s="465"/>
      <c r="S1234" s="466" t="str">
        <f>IF(ISTEXT($V1234), "TBD", RANK(V1234,$V1230:$V1236))</f>
        <v>TBD</v>
      </c>
      <c r="T1234" s="467">
        <v>1.0</v>
      </c>
      <c r="U1234" s="468" t="b">
        <f>Rankings!$S1234=Rankings!$T1234</f>
        <v>0</v>
      </c>
      <c r="V1234" s="553" t="str">
        <f>IF(ISTEXT(Rankings!F1234), "TBD", (RANK($F1234,$F1230:$F1236) + IF(ISTEXT($H1234), 0, (RANK($H1234,$H1230:$H1236)/10)) + (RANK($G1234,$G1230:$G1236)/100)))</f>
        <v>TBD</v>
      </c>
      <c r="W1234" s="153"/>
      <c r="Y1234" s="443"/>
    </row>
    <row r="1235" ht="15.75" customHeight="1">
      <c r="A1235" s="134"/>
      <c r="B1235" s="134"/>
      <c r="C1235" s="134"/>
      <c r="D1235" s="562" t="str">
        <f t="shared" si="177"/>
        <v/>
      </c>
      <c r="E1235" s="472" t="str">
        <f>$P$1</f>
        <v>Weston</v>
      </c>
      <c r="F1235" s="418" t="str">
        <f>IFERROR(AVERAGE(Rankings!$K1235:$R1235), "TBD")</f>
        <v>TBD</v>
      </c>
      <c r="G1235" s="418" t="str">
        <f>IFERROR(_xlfn.STDEV.P(Rankings!$K1235:$R1235), "TBD")</f>
        <v>TBD</v>
      </c>
      <c r="H1235" s="418" t="str">
        <f>IFERROR(AVERAGE(Rankings!$K1235:$O1235, Rankings!$Q1235:$R1235), "TBD")</f>
        <v>TBD</v>
      </c>
      <c r="I1235" s="440"/>
      <c r="J1235" s="440"/>
      <c r="K1235" s="430"/>
      <c r="L1235" s="431"/>
      <c r="M1235" s="431"/>
      <c r="N1235" s="555"/>
      <c r="O1235" s="431"/>
      <c r="P1235" s="431"/>
      <c r="Q1235" s="464"/>
      <c r="R1235" s="465"/>
      <c r="S1235" s="466" t="str">
        <f>IF(ISTEXT($V1235), "TBD", RANK(V1235,$V1230:$V1236))</f>
        <v>TBD</v>
      </c>
      <c r="T1235" s="467">
        <v>1.0</v>
      </c>
      <c r="U1235" s="468" t="b">
        <f>Rankings!$S1235=Rankings!$T1235</f>
        <v>0</v>
      </c>
      <c r="V1235" s="553" t="str">
        <f>IF(ISTEXT(Rankings!F1235), "TBD", (RANK($F1235,$F1230:$F1236) + IF(ISTEXT($H1235), 0, (RANK($H1235,$H1230:$H1236)/10)) + (RANK($G1235,$G1230:$G1236)/100)))</f>
        <v>TBD</v>
      </c>
      <c r="W1235" s="153"/>
      <c r="Y1235" s="443"/>
    </row>
    <row r="1236" ht="15.75" customHeight="1">
      <c r="A1236" s="189"/>
      <c r="B1236" s="189"/>
      <c r="C1236" s="189"/>
      <c r="D1236" s="563" t="str">
        <f t="shared" si="177"/>
        <v/>
      </c>
      <c r="E1236" s="230" t="str">
        <f>$Q$1</f>
        <v>Flocco</v>
      </c>
      <c r="F1236" s="474" t="str">
        <f>IFERROR(AVERAGE(Rankings!$K1236:$R1236), "TBD")</f>
        <v>TBD</v>
      </c>
      <c r="G1236" s="474" t="str">
        <f>IFERROR(_xlfn.STDEV.P(Rankings!$K1236:$R1236), "TBD")</f>
        <v>TBD</v>
      </c>
      <c r="H1236" s="474" t="str">
        <f>IFERROR(AVERAGE(Rankings!$K1236:$P1236, Rankings!$R1236), "TBD")</f>
        <v>TBD</v>
      </c>
      <c r="I1236" s="475"/>
      <c r="J1236" s="475"/>
      <c r="K1236" s="430"/>
      <c r="L1236" s="431"/>
      <c r="M1236" s="431"/>
      <c r="N1236" s="555"/>
      <c r="O1236" s="431"/>
      <c r="P1236" s="431"/>
      <c r="Q1236" s="464"/>
      <c r="R1236" s="465"/>
      <c r="S1236" s="466" t="str">
        <f>IF(ISTEXT($V1236), "TBD", RANK(V1236,$V1230:$V1236))</f>
        <v>TBD</v>
      </c>
      <c r="T1236" s="467">
        <v>1.0</v>
      </c>
      <c r="U1236" s="468" t="b">
        <f>Rankings!$S1236=Rankings!$T1236</f>
        <v>0</v>
      </c>
      <c r="V1236" s="553" t="str">
        <f>IF(ISTEXT(Rankings!F1236), "TBD", (RANK($F1236,$F1230:$F1236) + IF(ISTEXT($H1236), 0, (RANK($H1236,$H1230:$H1236)/10)) + (RANK($G1236,$G1230:$G1236)/100)))</f>
        <v>TBD</v>
      </c>
      <c r="W1236" s="208"/>
      <c r="Y1236" s="443"/>
    </row>
    <row r="1237" ht="15.75" customHeight="1">
      <c r="A1237" s="103"/>
      <c r="B1237" s="453"/>
      <c r="C1237" s="454" t="str">
        <f t="array" ref="C1237">INDEX(Rankings!$E1237:$E1243, MATCH(1, (Rankings!$D1237:$D1243=$A1237)*(Rankings!$U1237:$U1243=TRUE()), 0))</f>
        <v>#N/A</v>
      </c>
      <c r="D1237" s="551" t="str">
        <f>A1237</f>
        <v/>
      </c>
      <c r="E1237" s="455" t="str">
        <f>$K$1</f>
        <v>Logan</v>
      </c>
      <c r="F1237" s="400" t="str">
        <f>IFERROR(AVERAGE(Rankings!$K1237:$R1237), "TBD")</f>
        <v>TBD</v>
      </c>
      <c r="G1237" s="400" t="str">
        <f>IFERROR(_xlfn.STDEV.P(Rankings!$K1237:$R1237), "TBD")</f>
        <v>TBD</v>
      </c>
      <c r="H1237" s="400" t="str">
        <f>IFERROR(AVERAGE(Rankings!$L1237:$R1237), "TBD")</f>
        <v>TBD</v>
      </c>
      <c r="I1237" s="421"/>
      <c r="J1237" s="421"/>
      <c r="K1237" s="422"/>
      <c r="L1237" s="423"/>
      <c r="M1237" s="423"/>
      <c r="N1237" s="555"/>
      <c r="O1237" s="423"/>
      <c r="P1237" s="423"/>
      <c r="Q1237" s="456"/>
      <c r="R1237" s="457"/>
      <c r="S1237" s="458" t="str">
        <f>IF(ISTEXT($V1237), "TBD", RANK(V1237,$V1237:$V1243))</f>
        <v>TBD</v>
      </c>
      <c r="T1237" s="576">
        <v>1.0</v>
      </c>
      <c r="U1237" s="460" t="b">
        <f>Rankings!$S1237=Rankings!$T1237</f>
        <v>0</v>
      </c>
      <c r="V1237" s="553" t="str">
        <f>IF(ISTEXT(Rankings!F1237), "TBD", (RANK($F1237,$F1237:$F1243) + IF(ISTEXT($H1237), 0, (RANK($H1237,$H1237:$H1243)/10)) + (RANK($G1237,$G1237:$G1243)/100)))</f>
        <v>TBD</v>
      </c>
      <c r="W1237" s="329"/>
      <c r="Y1237" s="443"/>
    </row>
    <row r="1238" ht="15.75" customHeight="1">
      <c r="A1238" s="134"/>
      <c r="B1238" s="134"/>
      <c r="C1238" s="134"/>
      <c r="D1238" s="554" t="str">
        <f>D1237</f>
        <v/>
      </c>
      <c r="E1238" s="463" t="str">
        <f>$L$1</f>
        <v>Parker</v>
      </c>
      <c r="F1238" s="404" t="str">
        <f>IFERROR(AVERAGE(Rankings!$K1238:$R1238), "TBD")</f>
        <v>TBD</v>
      </c>
      <c r="G1238" s="404" t="str">
        <f>IFERROR(_xlfn.STDEV.P(Rankings!$K1238:$R1238), "TBD")</f>
        <v>TBD</v>
      </c>
      <c r="H1238" s="404" t="str">
        <f>IFERROR(AVERAGE(Rankings!$K1238, Rankings!$M1238:$R1238), "TBD")</f>
        <v>TBD</v>
      </c>
      <c r="I1238" s="429"/>
      <c r="J1238" s="429"/>
      <c r="K1238" s="430"/>
      <c r="L1238" s="431"/>
      <c r="M1238" s="431"/>
      <c r="N1238" s="555"/>
      <c r="O1238" s="431"/>
      <c r="P1238" s="431"/>
      <c r="Q1238" s="464"/>
      <c r="R1238" s="465"/>
      <c r="S1238" s="466" t="str">
        <f>IF(ISTEXT($V1238), "TBD", RANK(V1238,$V1237:$V1243))</f>
        <v>TBD</v>
      </c>
      <c r="T1238" s="444">
        <v>1.0</v>
      </c>
      <c r="U1238" s="468" t="b">
        <f>Rankings!$S1238=Rankings!$T1238</f>
        <v>0</v>
      </c>
      <c r="V1238" s="553" t="str">
        <f>IF(ISTEXT(Rankings!F1238), "TBD", (RANK($F1238,$F1237:$F1243) + IF(ISTEXT($H1238), 0, (RANK($H1238,$H1237:$H1243)/10)) + (RANK($G1238,$G1237:$G1243)/100)))</f>
        <v>TBD</v>
      </c>
      <c r="W1238" s="153"/>
      <c r="Y1238" s="443"/>
    </row>
    <row r="1239" ht="15.75" customHeight="1">
      <c r="A1239" s="134"/>
      <c r="B1239" s="134"/>
      <c r="C1239" s="134"/>
      <c r="D1239" s="556" t="str">
        <f>D1237</f>
        <v/>
      </c>
      <c r="E1239" s="469" t="str">
        <f>$M$1</f>
        <v>Giacomo</v>
      </c>
      <c r="F1239" s="408" t="str">
        <f>IFERROR(AVERAGE(Rankings!$K1239:$R1239), "TBD")</f>
        <v>TBD</v>
      </c>
      <c r="G1239" s="408" t="str">
        <f>IFERROR(_xlfn.STDEV.P(Rankings!$K1239:$R1239), "TBD")</f>
        <v>TBD</v>
      </c>
      <c r="H1239" s="408" t="str">
        <f>IFERROR(AVERAGE(Rankings!$K1239:$L1239, Rankings!$N1239:$R1239), "TBD")</f>
        <v>TBD</v>
      </c>
      <c r="I1239" s="437"/>
      <c r="J1239" s="437"/>
      <c r="K1239" s="430"/>
      <c r="L1239" s="431"/>
      <c r="M1239" s="431"/>
      <c r="N1239" s="555"/>
      <c r="O1239" s="431"/>
      <c r="P1239" s="431"/>
      <c r="Q1239" s="464"/>
      <c r="R1239" s="465"/>
      <c r="S1239" s="466" t="str">
        <f>IF(ISTEXT($V1239), "TBD", RANK(V1239,$V1237:$V1243))</f>
        <v>TBD</v>
      </c>
      <c r="T1239" s="467">
        <v>1.0</v>
      </c>
      <c r="U1239" s="468" t="b">
        <f>Rankings!$S1239=Rankings!$T1239</f>
        <v>0</v>
      </c>
      <c r="V1239" s="553" t="str">
        <f>IF(ISTEXT(Rankings!F1239), "TBD", (RANK($F1239,$F1237:$F1243) + IF(ISTEXT($H1239), 0, (RANK($H1239,$H1237:$H1243)/10)) + (RANK($G1239,$G1237:$G1243)/100)))</f>
        <v>TBD</v>
      </c>
      <c r="W1239" s="153"/>
      <c r="Y1239" s="443"/>
    </row>
    <row r="1240" ht="15.75" customHeight="1">
      <c r="A1240" s="134"/>
      <c r="B1240" s="134"/>
      <c r="C1240" s="134"/>
      <c r="D1240" s="557" t="str">
        <f>D1237</f>
        <v/>
      </c>
      <c r="E1240" s="470" t="str">
        <f>$N$1</f>
        <v>Rosey</v>
      </c>
      <c r="F1240" s="411" t="str">
        <f>IFERROR(AVERAGE(Rankings!$K1240:$R1240), "TBD")</f>
        <v>TBD</v>
      </c>
      <c r="G1240" s="411" t="str">
        <f>IFERROR(_xlfn.STDEV.P(Rankings!$K1240:$R1240), "TBD")</f>
        <v>TBD</v>
      </c>
      <c r="H1240" s="411" t="str">
        <f>IFERROR(AVERAGE(Rankings!$K1240:$M1240, Rankings!$O1240:$R1240), "TBD")</f>
        <v>TBD</v>
      </c>
      <c r="I1240" s="438"/>
      <c r="J1240" s="438"/>
      <c r="K1240" s="430"/>
      <c r="L1240" s="566"/>
      <c r="M1240" s="431"/>
      <c r="N1240" s="555"/>
      <c r="O1240" s="431" t="s">
        <v>1697</v>
      </c>
      <c r="P1240" s="431" t="s">
        <v>1698</v>
      </c>
      <c r="Q1240" s="464" t="s">
        <v>1766</v>
      </c>
      <c r="R1240" s="465"/>
      <c r="S1240" s="466" t="str">
        <f>IF(ISTEXT($V1240), "TBD", RANK(V1240,$V1237:$V1243))</f>
        <v>TBD</v>
      </c>
      <c r="T1240" s="467">
        <v>1.0</v>
      </c>
      <c r="U1240" s="468" t="b">
        <f>Rankings!$S1240=Rankings!$T1240</f>
        <v>0</v>
      </c>
      <c r="V1240" s="553" t="str">
        <f>IF(ISTEXT(Rankings!F1240), "TBD", (RANK($F1240,$F1237:$F1243) + IF(ISTEXT($H1240), 0, (RANK($H1240,$H1237:$H1243)/10)) + (RANK($G1240,$G1237:$G1243)/100)))</f>
        <v>TBD</v>
      </c>
      <c r="W1240" s="153"/>
      <c r="Y1240" s="443"/>
    </row>
    <row r="1241" ht="15.75" customHeight="1">
      <c r="A1241" s="134"/>
      <c r="B1241" s="134"/>
      <c r="C1241" s="134"/>
      <c r="D1241" s="561" t="str">
        <f t="shared" ref="D1241:D1243" si="178">D1237</f>
        <v/>
      </c>
      <c r="E1241" s="471" t="str">
        <f>$O$1</f>
        <v>TTAC</v>
      </c>
      <c r="F1241" s="414" t="str">
        <f>IFERROR(AVERAGE(Rankings!$K1241:$R1241), "TBD")</f>
        <v>TBD</v>
      </c>
      <c r="G1241" s="414" t="str">
        <f>IFERROR(_xlfn.STDEV.P(Rankings!$K1241:$R1241), "TBD")</f>
        <v>TBD</v>
      </c>
      <c r="H1241" s="414" t="str">
        <f>IFERROR(AVERAGE(Rankings!$K1241:$N1241, Rankings!$P1241:$R1241), "TBD")</f>
        <v>TBD</v>
      </c>
      <c r="I1241" s="439"/>
      <c r="J1241" s="439"/>
      <c r="K1241" s="430"/>
      <c r="L1241" s="431"/>
      <c r="M1241" s="431"/>
      <c r="N1241" s="555"/>
      <c r="O1241" s="431"/>
      <c r="P1241" s="431"/>
      <c r="Q1241" s="464"/>
      <c r="R1241" s="465"/>
      <c r="S1241" s="466" t="str">
        <f>IF(ISTEXT($V1241), "TBD", RANK(V1241,$V1237:$V1243))</f>
        <v>TBD</v>
      </c>
      <c r="T1241" s="467">
        <v>1.0</v>
      </c>
      <c r="U1241" s="468" t="b">
        <f>Rankings!$S1241=Rankings!$T1241</f>
        <v>0</v>
      </c>
      <c r="V1241" s="553" t="str">
        <f>IF(ISTEXT(Rankings!F1241), "TBD", (RANK($F1241,$F1237:$F1243) + IF(ISTEXT($H1241), 0, (RANK($H1241,$H1237:$H1243)/10)) + (RANK($G1241,$G1237:$G1243)/100)))</f>
        <v>TBD</v>
      </c>
      <c r="W1241" s="153"/>
      <c r="Y1241" s="443"/>
    </row>
    <row r="1242" ht="15.75" customHeight="1">
      <c r="A1242" s="134"/>
      <c r="B1242" s="134"/>
      <c r="C1242" s="134"/>
      <c r="D1242" s="562" t="str">
        <f t="shared" si="178"/>
        <v/>
      </c>
      <c r="E1242" s="472" t="str">
        <f>$P$1</f>
        <v>Weston</v>
      </c>
      <c r="F1242" s="418" t="str">
        <f>IFERROR(AVERAGE(Rankings!$K1242:$R1242), "TBD")</f>
        <v>TBD</v>
      </c>
      <c r="G1242" s="418" t="str">
        <f>IFERROR(_xlfn.STDEV.P(Rankings!$K1242:$R1242), "TBD")</f>
        <v>TBD</v>
      </c>
      <c r="H1242" s="418" t="str">
        <f>IFERROR(AVERAGE(Rankings!$K1242:$O1242, Rankings!$Q1242:$R1242), "TBD")</f>
        <v>TBD</v>
      </c>
      <c r="I1242" s="440"/>
      <c r="J1242" s="440"/>
      <c r="K1242" s="430"/>
      <c r="L1242" s="431"/>
      <c r="M1242" s="431"/>
      <c r="N1242" s="555"/>
      <c r="O1242" s="431"/>
      <c r="P1242" s="431"/>
      <c r="Q1242" s="464"/>
      <c r="R1242" s="465"/>
      <c r="S1242" s="466" t="str">
        <f>IF(ISTEXT($V1242), "TBD", RANK(V1242,$V1237:$V1243))</f>
        <v>TBD</v>
      </c>
      <c r="T1242" s="467">
        <v>1.0</v>
      </c>
      <c r="U1242" s="468" t="b">
        <f>Rankings!$S1242=Rankings!$T1242</f>
        <v>0</v>
      </c>
      <c r="V1242" s="553" t="str">
        <f>IF(ISTEXT(Rankings!F1242), "TBD", (RANK($F1242,$F1237:$F1243) + IF(ISTEXT($H1242), 0, (RANK($H1242,$H1237:$H1243)/10)) + (RANK($G1242,$G1237:$G1243)/100)))</f>
        <v>TBD</v>
      </c>
      <c r="W1242" s="153"/>
      <c r="Y1242" s="443"/>
    </row>
    <row r="1243" ht="15.75" customHeight="1">
      <c r="A1243" s="189"/>
      <c r="B1243" s="189"/>
      <c r="C1243" s="189"/>
      <c r="D1243" s="563" t="str">
        <f t="shared" si="178"/>
        <v/>
      </c>
      <c r="E1243" s="230" t="str">
        <f>$Q$1</f>
        <v>Flocco</v>
      </c>
      <c r="F1243" s="474" t="str">
        <f>IFERROR(AVERAGE(Rankings!$K1243:$R1243), "TBD")</f>
        <v>TBD</v>
      </c>
      <c r="G1243" s="474" t="str">
        <f>IFERROR(_xlfn.STDEV.P(Rankings!$K1243:$R1243), "TBD")</f>
        <v>TBD</v>
      </c>
      <c r="H1243" s="474" t="str">
        <f>IFERROR(AVERAGE(Rankings!$K1243:$P1243, Rankings!$R1243), "TBD")</f>
        <v>TBD</v>
      </c>
      <c r="I1243" s="475"/>
      <c r="J1243" s="475"/>
      <c r="K1243" s="430"/>
      <c r="L1243" s="431"/>
      <c r="M1243" s="431"/>
      <c r="N1243" s="555"/>
      <c r="O1243" s="431"/>
      <c r="P1243" s="431"/>
      <c r="Q1243" s="464"/>
      <c r="R1243" s="465"/>
      <c r="S1243" s="466" t="str">
        <f>IF(ISTEXT($V1243), "TBD", RANK(V1243,$V1237:$V1243))</f>
        <v>TBD</v>
      </c>
      <c r="T1243" s="467">
        <v>1.0</v>
      </c>
      <c r="U1243" s="468" t="b">
        <f>Rankings!$S1243=Rankings!$T1243</f>
        <v>0</v>
      </c>
      <c r="V1243" s="553" t="str">
        <f>IF(ISTEXT(Rankings!F1243), "TBD", (RANK($F1243,$F1237:$F1243) + IF(ISTEXT($H1243), 0, (RANK($H1243,$H1237:$H1243)/10)) + (RANK($G1243,$G1237:$G1243)/100)))</f>
        <v>TBD</v>
      </c>
      <c r="W1243" s="208"/>
      <c r="Y1243" s="443"/>
    </row>
    <row r="1244" ht="15.75" customHeight="1">
      <c r="A1244" s="103"/>
      <c r="B1244" s="453"/>
      <c r="C1244" s="454" t="str">
        <f t="array" ref="C1244">INDEX(Rankings!$E1244:$E1250, MATCH(1, (Rankings!$D1244:$D1250=$A1244)*(Rankings!$U1244:$U1250=TRUE()), 0))</f>
        <v>#N/A</v>
      </c>
      <c r="D1244" s="551" t="str">
        <f>A1244</f>
        <v/>
      </c>
      <c r="E1244" s="455" t="str">
        <f>$K$1</f>
        <v>Logan</v>
      </c>
      <c r="F1244" s="400" t="str">
        <f>IFERROR(AVERAGE(Rankings!$K1244:$R1244), "TBD")</f>
        <v>TBD</v>
      </c>
      <c r="G1244" s="400" t="str">
        <f>IFERROR(_xlfn.STDEV.P(Rankings!$K1244:$R1244), "TBD")</f>
        <v>TBD</v>
      </c>
      <c r="H1244" s="400" t="str">
        <f>IFERROR(AVERAGE(Rankings!$L1244:$R1244), "TBD")</f>
        <v>TBD</v>
      </c>
      <c r="I1244" s="421"/>
      <c r="J1244" s="421"/>
      <c r="K1244" s="422"/>
      <c r="L1244" s="423"/>
      <c r="M1244" s="423"/>
      <c r="N1244" s="555"/>
      <c r="O1244" s="423"/>
      <c r="P1244" s="423"/>
      <c r="Q1244" s="456"/>
      <c r="R1244" s="457"/>
      <c r="S1244" s="458" t="str">
        <f>IF(ISTEXT($V1244), "TBD", RANK(V1244,$V1244:$V1250))</f>
        <v>TBD</v>
      </c>
      <c r="T1244" s="576">
        <v>1.0</v>
      </c>
      <c r="U1244" s="460" t="b">
        <f>Rankings!$S1244=Rankings!$T1244</f>
        <v>0</v>
      </c>
      <c r="V1244" s="553" t="str">
        <f>IF(ISTEXT(Rankings!F1244), "TBD", (RANK($F1244,$F1244:$F1250) + IF(ISTEXT($H1244), 0, (RANK($H1244,$H1244:$H1250)/10)) + (RANK($G1244,$G1244:$G1250)/100)))</f>
        <v>TBD</v>
      </c>
      <c r="W1244" s="329"/>
      <c r="Y1244" s="443"/>
    </row>
    <row r="1245" ht="15.75" customHeight="1">
      <c r="A1245" s="134"/>
      <c r="B1245" s="134"/>
      <c r="C1245" s="134"/>
      <c r="D1245" s="554" t="str">
        <f>D1244</f>
        <v/>
      </c>
      <c r="E1245" s="463" t="str">
        <f>$L$1</f>
        <v>Parker</v>
      </c>
      <c r="F1245" s="404" t="str">
        <f>IFERROR(AVERAGE(Rankings!$K1245:$R1245), "TBD")</f>
        <v>TBD</v>
      </c>
      <c r="G1245" s="404" t="str">
        <f>IFERROR(_xlfn.STDEV.P(Rankings!$K1245:$R1245), "TBD")</f>
        <v>TBD</v>
      </c>
      <c r="H1245" s="404" t="str">
        <f>IFERROR(AVERAGE(Rankings!$K1245, Rankings!$M1245:$R1245), "TBD")</f>
        <v>TBD</v>
      </c>
      <c r="I1245" s="429"/>
      <c r="J1245" s="429"/>
      <c r="K1245" s="430"/>
      <c r="L1245" s="431"/>
      <c r="M1245" s="431"/>
      <c r="N1245" s="555"/>
      <c r="O1245" s="431"/>
      <c r="P1245" s="431"/>
      <c r="Q1245" s="464"/>
      <c r="R1245" s="465"/>
      <c r="S1245" s="466" t="str">
        <f>IF(ISTEXT($V1245), "TBD", RANK(V1245,$V1244:$V1250))</f>
        <v>TBD</v>
      </c>
      <c r="T1245" s="444">
        <v>1.0</v>
      </c>
      <c r="U1245" s="468" t="b">
        <f>Rankings!$S1245=Rankings!$T1245</f>
        <v>0</v>
      </c>
      <c r="V1245" s="553" t="str">
        <f>IF(ISTEXT(Rankings!F1245), "TBD", (RANK($F1245,$F1244:$F1250) + IF(ISTEXT($H1245), 0, (RANK($H1245,$H1244:$H1250)/10)) + (RANK($G1245,$G1244:$G1250)/100)))</f>
        <v>TBD</v>
      </c>
      <c r="W1245" s="153"/>
      <c r="Y1245" s="443"/>
    </row>
    <row r="1246" ht="15.75" customHeight="1">
      <c r="A1246" s="134"/>
      <c r="B1246" s="134"/>
      <c r="C1246" s="134"/>
      <c r="D1246" s="556" t="str">
        <f>D1244</f>
        <v/>
      </c>
      <c r="E1246" s="469" t="str">
        <f>$M$1</f>
        <v>Giacomo</v>
      </c>
      <c r="F1246" s="408" t="str">
        <f>IFERROR(AVERAGE(Rankings!$K1246:$R1246), "TBD")</f>
        <v>TBD</v>
      </c>
      <c r="G1246" s="408" t="str">
        <f>IFERROR(_xlfn.STDEV.P(Rankings!$K1246:$R1246), "TBD")</f>
        <v>TBD</v>
      </c>
      <c r="H1246" s="408" t="str">
        <f>IFERROR(AVERAGE(Rankings!$K1246:$L1246, Rankings!$N1246:$R1246), "TBD")</f>
        <v>TBD</v>
      </c>
      <c r="I1246" s="437"/>
      <c r="J1246" s="437"/>
      <c r="K1246" s="430"/>
      <c r="L1246" s="431"/>
      <c r="M1246" s="431"/>
      <c r="N1246" s="555"/>
      <c r="O1246" s="431"/>
      <c r="P1246" s="431"/>
      <c r="Q1246" s="464"/>
      <c r="R1246" s="465"/>
      <c r="S1246" s="466" t="str">
        <f>IF(ISTEXT($V1246), "TBD", RANK(V1246,$V1244:$V1250))</f>
        <v>TBD</v>
      </c>
      <c r="T1246" s="467">
        <v>1.0</v>
      </c>
      <c r="U1246" s="468" t="b">
        <f>Rankings!$S1246=Rankings!$T1246</f>
        <v>0</v>
      </c>
      <c r="V1246" s="553" t="str">
        <f>IF(ISTEXT(Rankings!F1246), "TBD", (RANK($F1246,$F1244:$F1250) + IF(ISTEXT($H1246), 0, (RANK($H1246,$H1244:$H1250)/10)) + (RANK($G1246,$G1244:$G1250)/100)))</f>
        <v>TBD</v>
      </c>
      <c r="W1246" s="153"/>
      <c r="Y1246" s="443"/>
    </row>
    <row r="1247" ht="15.75" customHeight="1">
      <c r="A1247" s="134"/>
      <c r="B1247" s="134"/>
      <c r="C1247" s="134"/>
      <c r="D1247" s="557" t="str">
        <f>D1244</f>
        <v/>
      </c>
      <c r="E1247" s="470" t="str">
        <f>$N$1</f>
        <v>Rosey</v>
      </c>
      <c r="F1247" s="411" t="str">
        <f>IFERROR(AVERAGE(Rankings!$K1247:$R1247), "TBD")</f>
        <v>TBD</v>
      </c>
      <c r="G1247" s="411" t="str">
        <f>IFERROR(_xlfn.STDEV.P(Rankings!$K1247:$R1247), "TBD")</f>
        <v>TBD</v>
      </c>
      <c r="H1247" s="411" t="str">
        <f>IFERROR(AVERAGE(Rankings!$K1247:$M1247, Rankings!$O1247:$R1247), "TBD")</f>
        <v>TBD</v>
      </c>
      <c r="I1247" s="438"/>
      <c r="J1247" s="438"/>
      <c r="K1247" s="430"/>
      <c r="L1247" s="566"/>
      <c r="M1247" s="431"/>
      <c r="N1247" s="555"/>
      <c r="O1247" s="431" t="s">
        <v>1697</v>
      </c>
      <c r="P1247" s="431" t="s">
        <v>1698</v>
      </c>
      <c r="Q1247" s="464" t="s">
        <v>1766</v>
      </c>
      <c r="R1247" s="465"/>
      <c r="S1247" s="466" t="str">
        <f>IF(ISTEXT($V1247), "TBD", RANK(V1247,$V1244:$V1250))</f>
        <v>TBD</v>
      </c>
      <c r="T1247" s="467">
        <v>1.0</v>
      </c>
      <c r="U1247" s="468" t="b">
        <f>Rankings!$S1247=Rankings!$T1247</f>
        <v>0</v>
      </c>
      <c r="V1247" s="553" t="str">
        <f>IF(ISTEXT(Rankings!F1247), "TBD", (RANK($F1247,$F1244:$F1250) + IF(ISTEXT($H1247), 0, (RANK($H1247,$H1244:$H1250)/10)) + (RANK($G1247,$G1244:$G1250)/100)))</f>
        <v>TBD</v>
      </c>
      <c r="W1247" s="153"/>
      <c r="Y1247" s="443"/>
    </row>
    <row r="1248" ht="15.75" customHeight="1">
      <c r="A1248" s="134"/>
      <c r="B1248" s="134"/>
      <c r="C1248" s="134"/>
      <c r="D1248" s="561" t="str">
        <f t="shared" ref="D1248:D1250" si="179">D1244</f>
        <v/>
      </c>
      <c r="E1248" s="471" t="str">
        <f>$O$1</f>
        <v>TTAC</v>
      </c>
      <c r="F1248" s="414" t="str">
        <f>IFERROR(AVERAGE(Rankings!$K1248:$R1248), "TBD")</f>
        <v>TBD</v>
      </c>
      <c r="G1248" s="414" t="str">
        <f>IFERROR(_xlfn.STDEV.P(Rankings!$K1248:$R1248), "TBD")</f>
        <v>TBD</v>
      </c>
      <c r="H1248" s="414" t="str">
        <f>IFERROR(AVERAGE(Rankings!$K1248:$N1248, Rankings!$P1248:$R1248), "TBD")</f>
        <v>TBD</v>
      </c>
      <c r="I1248" s="439"/>
      <c r="J1248" s="439"/>
      <c r="K1248" s="430"/>
      <c r="L1248" s="431"/>
      <c r="M1248" s="431"/>
      <c r="N1248" s="555"/>
      <c r="O1248" s="431"/>
      <c r="P1248" s="431"/>
      <c r="Q1248" s="464"/>
      <c r="R1248" s="465"/>
      <c r="S1248" s="466" t="str">
        <f>IF(ISTEXT($V1248), "TBD", RANK(V1248,$V1244:$V1250))</f>
        <v>TBD</v>
      </c>
      <c r="T1248" s="467">
        <v>1.0</v>
      </c>
      <c r="U1248" s="468" t="b">
        <f>Rankings!$S1248=Rankings!$T1248</f>
        <v>0</v>
      </c>
      <c r="V1248" s="553" t="str">
        <f>IF(ISTEXT(Rankings!F1248), "TBD", (RANK($F1248,$F1244:$F1250) + IF(ISTEXT($H1248), 0, (RANK($H1248,$H1244:$H1250)/10)) + (RANK($G1248,$G1244:$G1250)/100)))</f>
        <v>TBD</v>
      </c>
      <c r="W1248" s="153"/>
      <c r="Y1248" s="443"/>
    </row>
    <row r="1249" ht="15.75" customHeight="1">
      <c r="A1249" s="134"/>
      <c r="B1249" s="134"/>
      <c r="C1249" s="134"/>
      <c r="D1249" s="562" t="str">
        <f t="shared" si="179"/>
        <v/>
      </c>
      <c r="E1249" s="472" t="str">
        <f>$P$1</f>
        <v>Weston</v>
      </c>
      <c r="F1249" s="418" t="str">
        <f>IFERROR(AVERAGE(Rankings!$K1249:$R1249), "TBD")</f>
        <v>TBD</v>
      </c>
      <c r="G1249" s="418" t="str">
        <f>IFERROR(_xlfn.STDEV.P(Rankings!$K1249:$R1249), "TBD")</f>
        <v>TBD</v>
      </c>
      <c r="H1249" s="418" t="str">
        <f>IFERROR(AVERAGE(Rankings!$K1249:$O1249, Rankings!$Q1249:$R1249), "TBD")</f>
        <v>TBD</v>
      </c>
      <c r="I1249" s="440"/>
      <c r="J1249" s="440"/>
      <c r="K1249" s="430"/>
      <c r="L1249" s="431"/>
      <c r="M1249" s="431"/>
      <c r="N1249" s="555"/>
      <c r="O1249" s="431"/>
      <c r="P1249" s="431"/>
      <c r="Q1249" s="464"/>
      <c r="R1249" s="465"/>
      <c r="S1249" s="466" t="str">
        <f>IF(ISTEXT($V1249), "TBD", RANK(V1249,$V1244:$V1250))</f>
        <v>TBD</v>
      </c>
      <c r="T1249" s="467">
        <v>1.0</v>
      </c>
      <c r="U1249" s="468" t="b">
        <f>Rankings!$S1249=Rankings!$T1249</f>
        <v>0</v>
      </c>
      <c r="V1249" s="553" t="str">
        <f>IF(ISTEXT(Rankings!F1249), "TBD", (RANK($F1249,$F1244:$F1250) + IF(ISTEXT($H1249), 0, (RANK($H1249,$H1244:$H1250)/10)) + (RANK($G1249,$G1244:$G1250)/100)))</f>
        <v>TBD</v>
      </c>
      <c r="W1249" s="153"/>
      <c r="Y1249" s="443"/>
    </row>
    <row r="1250" ht="15.75" customHeight="1">
      <c r="A1250" s="189"/>
      <c r="B1250" s="189"/>
      <c r="C1250" s="189"/>
      <c r="D1250" s="563" t="str">
        <f t="shared" si="179"/>
        <v/>
      </c>
      <c r="E1250" s="230" t="str">
        <f>$Q$1</f>
        <v>Flocco</v>
      </c>
      <c r="F1250" s="474" t="str">
        <f>IFERROR(AVERAGE(Rankings!$K1250:$R1250), "TBD")</f>
        <v>TBD</v>
      </c>
      <c r="G1250" s="474" t="str">
        <f>IFERROR(_xlfn.STDEV.P(Rankings!$K1250:$R1250), "TBD")</f>
        <v>TBD</v>
      </c>
      <c r="H1250" s="474" t="str">
        <f>IFERROR(AVERAGE(Rankings!$K1250:$P1250, Rankings!$R1250), "TBD")</f>
        <v>TBD</v>
      </c>
      <c r="I1250" s="475"/>
      <c r="J1250" s="475"/>
      <c r="K1250" s="430"/>
      <c r="L1250" s="431"/>
      <c r="M1250" s="431"/>
      <c r="N1250" s="555"/>
      <c r="O1250" s="431"/>
      <c r="P1250" s="431"/>
      <c r="Q1250" s="464"/>
      <c r="R1250" s="465"/>
      <c r="S1250" s="466" t="str">
        <f>IF(ISTEXT($V1250), "TBD", RANK(V1250,$V1244:$V1250))</f>
        <v>TBD</v>
      </c>
      <c r="T1250" s="467">
        <v>1.0</v>
      </c>
      <c r="U1250" s="468" t="b">
        <f>Rankings!$S1250=Rankings!$T1250</f>
        <v>0</v>
      </c>
      <c r="V1250" s="553" t="str">
        <f>IF(ISTEXT(Rankings!F1250), "TBD", (RANK($F1250,$F1244:$F1250) + IF(ISTEXT($H1250), 0, (RANK($H1250,$H1244:$H1250)/10)) + (RANK($G1250,$G1244:$G1250)/100)))</f>
        <v>TBD</v>
      </c>
      <c r="W1250" s="208"/>
      <c r="Y1250" s="443"/>
    </row>
    <row r="1251" ht="15.75" customHeight="1">
      <c r="A1251" s="103"/>
      <c r="B1251" s="453"/>
      <c r="C1251" s="454" t="str">
        <f t="array" ref="C1251">INDEX(Rankings!$E1251:$E1257, MATCH(1, (Rankings!$D1251:$D1257=$A1251)*(Rankings!$U1251:$U1257=TRUE()), 0))</f>
        <v>#N/A</v>
      </c>
      <c r="D1251" s="551" t="str">
        <f>A1251</f>
        <v/>
      </c>
      <c r="E1251" s="455" t="str">
        <f>$K$1</f>
        <v>Logan</v>
      </c>
      <c r="F1251" s="400" t="str">
        <f>IFERROR(AVERAGE(Rankings!$K1251:$R1251), "TBD")</f>
        <v>TBD</v>
      </c>
      <c r="G1251" s="400" t="str">
        <f>IFERROR(_xlfn.STDEV.P(Rankings!$K1251:$R1251), "TBD")</f>
        <v>TBD</v>
      </c>
      <c r="H1251" s="400" t="str">
        <f>IFERROR(AVERAGE(Rankings!$L1251:$R1251), "TBD")</f>
        <v>TBD</v>
      </c>
      <c r="I1251" s="421"/>
      <c r="J1251" s="421"/>
      <c r="K1251" s="422"/>
      <c r="L1251" s="423"/>
      <c r="M1251" s="423"/>
      <c r="N1251" s="555"/>
      <c r="O1251" s="423"/>
      <c r="P1251" s="423"/>
      <c r="Q1251" s="456"/>
      <c r="R1251" s="457"/>
      <c r="S1251" s="458" t="str">
        <f>IF(ISTEXT($V1251), "TBD", RANK(V1251,$V1251:$V1257))</f>
        <v>TBD</v>
      </c>
      <c r="T1251" s="576">
        <v>1.0</v>
      </c>
      <c r="U1251" s="460" t="b">
        <f>Rankings!$S1251=Rankings!$T1251</f>
        <v>0</v>
      </c>
      <c r="V1251" s="553" t="str">
        <f>IF(ISTEXT(Rankings!F1251), "TBD", (RANK($F1251,$F1251:$F1257) + IF(ISTEXT($H1251), 0, (RANK($H1251,$H1251:$H1257)/10)) + (RANK($G1251,$G1251:$G1257)/100)))</f>
        <v>TBD</v>
      </c>
      <c r="W1251" s="329"/>
      <c r="Y1251" s="443"/>
    </row>
    <row r="1252" ht="15.75" customHeight="1">
      <c r="A1252" s="134"/>
      <c r="B1252" s="134"/>
      <c r="C1252" s="134"/>
      <c r="D1252" s="554" t="str">
        <f>D1251</f>
        <v/>
      </c>
      <c r="E1252" s="463" t="str">
        <f>$L$1</f>
        <v>Parker</v>
      </c>
      <c r="F1252" s="404" t="str">
        <f>IFERROR(AVERAGE(Rankings!$K1252:$R1252), "TBD")</f>
        <v>TBD</v>
      </c>
      <c r="G1252" s="404" t="str">
        <f>IFERROR(_xlfn.STDEV.P(Rankings!$K1252:$R1252), "TBD")</f>
        <v>TBD</v>
      </c>
      <c r="H1252" s="404" t="str">
        <f>IFERROR(AVERAGE(Rankings!$K1252, Rankings!$M1252:$R1252), "TBD")</f>
        <v>TBD</v>
      </c>
      <c r="I1252" s="429"/>
      <c r="J1252" s="429"/>
      <c r="K1252" s="430"/>
      <c r="L1252" s="431"/>
      <c r="M1252" s="431"/>
      <c r="N1252" s="555"/>
      <c r="O1252" s="431"/>
      <c r="P1252" s="431"/>
      <c r="Q1252" s="464"/>
      <c r="R1252" s="465"/>
      <c r="S1252" s="466" t="str">
        <f>IF(ISTEXT($V1252), "TBD", RANK(V1252,$V1251:$V1257))</f>
        <v>TBD</v>
      </c>
      <c r="T1252" s="444">
        <v>1.0</v>
      </c>
      <c r="U1252" s="468" t="b">
        <f>Rankings!$S1252=Rankings!$T1252</f>
        <v>0</v>
      </c>
      <c r="V1252" s="553" t="str">
        <f>IF(ISTEXT(Rankings!F1252), "TBD", (RANK($F1252,$F1251:$F1257) + IF(ISTEXT($H1252), 0, (RANK($H1252,$H1251:$H1257)/10)) + (RANK($G1252,$G1251:$G1257)/100)))</f>
        <v>TBD</v>
      </c>
      <c r="W1252" s="153"/>
      <c r="Y1252" s="443"/>
    </row>
    <row r="1253" ht="15.75" customHeight="1">
      <c r="A1253" s="134"/>
      <c r="B1253" s="134"/>
      <c r="C1253" s="134"/>
      <c r="D1253" s="556" t="str">
        <f>D1251</f>
        <v/>
      </c>
      <c r="E1253" s="469" t="str">
        <f>$M$1</f>
        <v>Giacomo</v>
      </c>
      <c r="F1253" s="408" t="str">
        <f>IFERROR(AVERAGE(Rankings!$K1253:$R1253), "TBD")</f>
        <v>TBD</v>
      </c>
      <c r="G1253" s="408" t="str">
        <f>IFERROR(_xlfn.STDEV.P(Rankings!$K1253:$R1253), "TBD")</f>
        <v>TBD</v>
      </c>
      <c r="H1253" s="408" t="str">
        <f>IFERROR(AVERAGE(Rankings!$K1253:$L1253, Rankings!$N1253:$R1253), "TBD")</f>
        <v>TBD</v>
      </c>
      <c r="I1253" s="437"/>
      <c r="J1253" s="437"/>
      <c r="K1253" s="430"/>
      <c r="L1253" s="431"/>
      <c r="M1253" s="431"/>
      <c r="N1253" s="555"/>
      <c r="O1253" s="431"/>
      <c r="P1253" s="431"/>
      <c r="Q1253" s="464"/>
      <c r="R1253" s="465"/>
      <c r="S1253" s="466" t="str">
        <f>IF(ISTEXT($V1253), "TBD", RANK(V1253,$V1251:$V1257))</f>
        <v>TBD</v>
      </c>
      <c r="T1253" s="467">
        <v>1.0</v>
      </c>
      <c r="U1253" s="468" t="b">
        <f>Rankings!$S1253=Rankings!$T1253</f>
        <v>0</v>
      </c>
      <c r="V1253" s="553" t="str">
        <f>IF(ISTEXT(Rankings!F1253), "TBD", (RANK($F1253,$F1251:$F1257) + IF(ISTEXT($H1253), 0, (RANK($H1253,$H1251:$H1257)/10)) + (RANK($G1253,$G1251:$G1257)/100)))</f>
        <v>TBD</v>
      </c>
      <c r="W1253" s="153"/>
      <c r="Y1253" s="443"/>
    </row>
    <row r="1254" ht="15.75" customHeight="1">
      <c r="A1254" s="134"/>
      <c r="B1254" s="134"/>
      <c r="C1254" s="134"/>
      <c r="D1254" s="557" t="str">
        <f>D1251</f>
        <v/>
      </c>
      <c r="E1254" s="470" t="str">
        <f>$N$1</f>
        <v>Rosey</v>
      </c>
      <c r="F1254" s="411" t="str">
        <f>IFERROR(AVERAGE(Rankings!$K1254:$R1254), "TBD")</f>
        <v>TBD</v>
      </c>
      <c r="G1254" s="411" t="str">
        <f>IFERROR(_xlfn.STDEV.P(Rankings!$K1254:$R1254), "TBD")</f>
        <v>TBD</v>
      </c>
      <c r="H1254" s="411" t="str">
        <f>IFERROR(AVERAGE(Rankings!$K1254:$M1254, Rankings!$O1254:$R1254), "TBD")</f>
        <v>TBD</v>
      </c>
      <c r="I1254" s="438"/>
      <c r="J1254" s="438"/>
      <c r="K1254" s="430"/>
      <c r="L1254" s="566"/>
      <c r="M1254" s="431"/>
      <c r="N1254" s="555"/>
      <c r="O1254" s="431" t="s">
        <v>1697</v>
      </c>
      <c r="P1254" s="431" t="s">
        <v>1698</v>
      </c>
      <c r="Q1254" s="464" t="s">
        <v>1766</v>
      </c>
      <c r="R1254" s="465"/>
      <c r="S1254" s="466" t="str">
        <f>IF(ISTEXT($V1254), "TBD", RANK(V1254,$V1251:$V1257))</f>
        <v>TBD</v>
      </c>
      <c r="T1254" s="467">
        <v>1.0</v>
      </c>
      <c r="U1254" s="468" t="b">
        <f>Rankings!$S1254=Rankings!$T1254</f>
        <v>0</v>
      </c>
      <c r="V1254" s="553" t="str">
        <f>IF(ISTEXT(Rankings!F1254), "TBD", (RANK($F1254,$F1251:$F1257) + IF(ISTEXT($H1254), 0, (RANK($H1254,$H1251:$H1257)/10)) + (RANK($G1254,$G1251:$G1257)/100)))</f>
        <v>TBD</v>
      </c>
      <c r="W1254" s="153"/>
      <c r="Y1254" s="443"/>
    </row>
    <row r="1255" ht="15.75" customHeight="1">
      <c r="A1255" s="134"/>
      <c r="B1255" s="134"/>
      <c r="C1255" s="134"/>
      <c r="D1255" s="561" t="str">
        <f t="shared" ref="D1255:D1257" si="180">D1251</f>
        <v/>
      </c>
      <c r="E1255" s="471" t="str">
        <f>$O$1</f>
        <v>TTAC</v>
      </c>
      <c r="F1255" s="414" t="str">
        <f>IFERROR(AVERAGE(Rankings!$K1255:$R1255), "TBD")</f>
        <v>TBD</v>
      </c>
      <c r="G1255" s="414" t="str">
        <f>IFERROR(_xlfn.STDEV.P(Rankings!$K1255:$R1255), "TBD")</f>
        <v>TBD</v>
      </c>
      <c r="H1255" s="414" t="str">
        <f>IFERROR(AVERAGE(Rankings!$K1255:$N1255, Rankings!$P1255:$R1255), "TBD")</f>
        <v>TBD</v>
      </c>
      <c r="I1255" s="439"/>
      <c r="J1255" s="439"/>
      <c r="K1255" s="430"/>
      <c r="L1255" s="431"/>
      <c r="M1255" s="431"/>
      <c r="N1255" s="555"/>
      <c r="O1255" s="431"/>
      <c r="P1255" s="431"/>
      <c r="Q1255" s="464"/>
      <c r="R1255" s="465"/>
      <c r="S1255" s="466" t="str">
        <f>IF(ISTEXT($V1255), "TBD", RANK(V1255,$V1251:$V1257))</f>
        <v>TBD</v>
      </c>
      <c r="T1255" s="467">
        <v>1.0</v>
      </c>
      <c r="U1255" s="468" t="b">
        <f>Rankings!$S1255=Rankings!$T1255</f>
        <v>0</v>
      </c>
      <c r="V1255" s="553" t="str">
        <f>IF(ISTEXT(Rankings!F1255), "TBD", (RANK($F1255,$F1251:$F1257) + IF(ISTEXT($H1255), 0, (RANK($H1255,$H1251:$H1257)/10)) + (RANK($G1255,$G1251:$G1257)/100)))</f>
        <v>TBD</v>
      </c>
      <c r="W1255" s="153"/>
      <c r="Y1255" s="443"/>
    </row>
    <row r="1256" ht="15.75" customHeight="1">
      <c r="A1256" s="134"/>
      <c r="B1256" s="134"/>
      <c r="C1256" s="134"/>
      <c r="D1256" s="562" t="str">
        <f t="shared" si="180"/>
        <v/>
      </c>
      <c r="E1256" s="472" t="str">
        <f>$P$1</f>
        <v>Weston</v>
      </c>
      <c r="F1256" s="418" t="str">
        <f>IFERROR(AVERAGE(Rankings!$K1256:$R1256), "TBD")</f>
        <v>TBD</v>
      </c>
      <c r="G1256" s="418" t="str">
        <f>IFERROR(_xlfn.STDEV.P(Rankings!$K1256:$R1256), "TBD")</f>
        <v>TBD</v>
      </c>
      <c r="H1256" s="418" t="str">
        <f>IFERROR(AVERAGE(Rankings!$K1256:$O1256, Rankings!$Q1256:$R1256), "TBD")</f>
        <v>TBD</v>
      </c>
      <c r="I1256" s="440"/>
      <c r="J1256" s="440"/>
      <c r="K1256" s="430"/>
      <c r="L1256" s="431"/>
      <c r="M1256" s="431"/>
      <c r="N1256" s="555"/>
      <c r="O1256" s="431"/>
      <c r="P1256" s="431"/>
      <c r="Q1256" s="464"/>
      <c r="R1256" s="465"/>
      <c r="S1256" s="466" t="str">
        <f>IF(ISTEXT($V1256), "TBD", RANK(V1256,$V1251:$V1257))</f>
        <v>TBD</v>
      </c>
      <c r="T1256" s="467">
        <v>1.0</v>
      </c>
      <c r="U1256" s="468" t="b">
        <f>Rankings!$S1256=Rankings!$T1256</f>
        <v>0</v>
      </c>
      <c r="V1256" s="553" t="str">
        <f>IF(ISTEXT(Rankings!F1256), "TBD", (RANK($F1256,$F1251:$F1257) + IF(ISTEXT($H1256), 0, (RANK($H1256,$H1251:$H1257)/10)) + (RANK($G1256,$G1251:$G1257)/100)))</f>
        <v>TBD</v>
      </c>
      <c r="W1256" s="153"/>
      <c r="Y1256" s="443"/>
    </row>
    <row r="1257" ht="15.75" customHeight="1">
      <c r="A1257" s="189"/>
      <c r="B1257" s="189"/>
      <c r="C1257" s="189"/>
      <c r="D1257" s="563" t="str">
        <f t="shared" si="180"/>
        <v/>
      </c>
      <c r="E1257" s="230" t="str">
        <f>$Q$1</f>
        <v>Flocco</v>
      </c>
      <c r="F1257" s="474" t="str">
        <f>IFERROR(AVERAGE(Rankings!$K1257:$R1257), "TBD")</f>
        <v>TBD</v>
      </c>
      <c r="G1257" s="474" t="str">
        <f>IFERROR(_xlfn.STDEV.P(Rankings!$K1257:$R1257), "TBD")</f>
        <v>TBD</v>
      </c>
      <c r="H1257" s="474" t="str">
        <f>IFERROR(AVERAGE(Rankings!$K1257:$P1257, Rankings!$R1257), "TBD")</f>
        <v>TBD</v>
      </c>
      <c r="I1257" s="475"/>
      <c r="J1257" s="475"/>
      <c r="K1257" s="430"/>
      <c r="L1257" s="431"/>
      <c r="M1257" s="431"/>
      <c r="N1257" s="555"/>
      <c r="O1257" s="431"/>
      <c r="P1257" s="431"/>
      <c r="Q1257" s="464"/>
      <c r="R1257" s="465"/>
      <c r="S1257" s="466" t="str">
        <f>IF(ISTEXT($V1257), "TBD", RANK(V1257,$V1251:$V1257))</f>
        <v>TBD</v>
      </c>
      <c r="T1257" s="467">
        <v>1.0</v>
      </c>
      <c r="U1257" s="468" t="b">
        <f>Rankings!$S1257=Rankings!$T1257</f>
        <v>0</v>
      </c>
      <c r="V1257" s="553" t="str">
        <f>IF(ISTEXT(Rankings!F1257), "TBD", (RANK($F1257,$F1251:$F1257) + IF(ISTEXT($H1257), 0, (RANK($H1257,$H1251:$H1257)/10)) + (RANK($G1257,$G1251:$G1257)/100)))</f>
        <v>TBD</v>
      </c>
      <c r="W1257" s="208"/>
      <c r="Y1257" s="443"/>
    </row>
    <row r="1258" ht="15.75" customHeight="1">
      <c r="A1258" s="103"/>
      <c r="B1258" s="453"/>
      <c r="C1258" s="454" t="str">
        <f t="array" ref="C1258">INDEX(Rankings!$E1258:$E1264, MATCH(1, (Rankings!$D1258:$D1264=$A1258)*(Rankings!$U1258:$U1264=TRUE()), 0))</f>
        <v>#N/A</v>
      </c>
      <c r="D1258" s="551" t="str">
        <f>A1258</f>
        <v/>
      </c>
      <c r="E1258" s="455" t="str">
        <f>$K$1</f>
        <v>Logan</v>
      </c>
      <c r="F1258" s="400" t="str">
        <f>IFERROR(AVERAGE(Rankings!$K1258:$R1258), "TBD")</f>
        <v>TBD</v>
      </c>
      <c r="G1258" s="400" t="str">
        <f>IFERROR(_xlfn.STDEV.P(Rankings!$K1258:$R1258), "TBD")</f>
        <v>TBD</v>
      </c>
      <c r="H1258" s="400" t="str">
        <f>IFERROR(AVERAGE(Rankings!$L1258:$R1258), "TBD")</f>
        <v>TBD</v>
      </c>
      <c r="I1258" s="421"/>
      <c r="J1258" s="421"/>
      <c r="K1258" s="422"/>
      <c r="L1258" s="423"/>
      <c r="M1258" s="423"/>
      <c r="N1258" s="555"/>
      <c r="O1258" s="423"/>
      <c r="P1258" s="423"/>
      <c r="Q1258" s="456"/>
      <c r="R1258" s="457"/>
      <c r="S1258" s="458" t="str">
        <f>IF(ISTEXT($V1258), "TBD", RANK(V1258,$V1258:$V1264))</f>
        <v>TBD</v>
      </c>
      <c r="T1258" s="576">
        <v>1.0</v>
      </c>
      <c r="U1258" s="460" t="b">
        <f>Rankings!$S1258=Rankings!$T1258</f>
        <v>0</v>
      </c>
      <c r="V1258" s="553" t="str">
        <f>IF(ISTEXT(Rankings!F1258), "TBD", (RANK($F1258,$F1258:$F1264) + IF(ISTEXT($H1258), 0, (RANK($H1258,$H1258:$H1264)/10)) + (RANK($G1258,$G1258:$G1264)/100)))</f>
        <v>TBD</v>
      </c>
      <c r="W1258" s="329"/>
      <c r="Y1258" s="443"/>
    </row>
    <row r="1259" ht="15.75" customHeight="1">
      <c r="A1259" s="134"/>
      <c r="B1259" s="134"/>
      <c r="C1259" s="134"/>
      <c r="D1259" s="554" t="str">
        <f>D1258</f>
        <v/>
      </c>
      <c r="E1259" s="463" t="str">
        <f>$L$1</f>
        <v>Parker</v>
      </c>
      <c r="F1259" s="404" t="str">
        <f>IFERROR(AVERAGE(Rankings!$K1259:$R1259), "TBD")</f>
        <v>TBD</v>
      </c>
      <c r="G1259" s="404" t="str">
        <f>IFERROR(_xlfn.STDEV.P(Rankings!$K1259:$R1259), "TBD")</f>
        <v>TBD</v>
      </c>
      <c r="H1259" s="404" t="str">
        <f>IFERROR(AVERAGE(Rankings!$K1259, Rankings!$M1259:$R1259), "TBD")</f>
        <v>TBD</v>
      </c>
      <c r="I1259" s="429"/>
      <c r="J1259" s="429"/>
      <c r="K1259" s="430"/>
      <c r="L1259" s="431"/>
      <c r="M1259" s="431"/>
      <c r="N1259" s="555"/>
      <c r="O1259" s="431"/>
      <c r="P1259" s="431"/>
      <c r="Q1259" s="464"/>
      <c r="R1259" s="465"/>
      <c r="S1259" s="466" t="str">
        <f>IF(ISTEXT($V1259), "TBD", RANK(V1259,$V1258:$V1264))</f>
        <v>TBD</v>
      </c>
      <c r="T1259" s="444">
        <v>1.0</v>
      </c>
      <c r="U1259" s="468" t="b">
        <f>Rankings!$S1259=Rankings!$T1259</f>
        <v>0</v>
      </c>
      <c r="V1259" s="553" t="str">
        <f>IF(ISTEXT(Rankings!F1259), "TBD", (RANK($F1259,$F1258:$F1264) + IF(ISTEXT($H1259), 0, (RANK($H1259,$H1258:$H1264)/10)) + (RANK($G1259,$G1258:$G1264)/100)))</f>
        <v>TBD</v>
      </c>
      <c r="W1259" s="153"/>
      <c r="Y1259" s="443"/>
    </row>
    <row r="1260" ht="15.75" customHeight="1">
      <c r="A1260" s="134"/>
      <c r="B1260" s="134"/>
      <c r="C1260" s="134"/>
      <c r="D1260" s="556" t="str">
        <f>D1258</f>
        <v/>
      </c>
      <c r="E1260" s="469" t="str">
        <f>$M$1</f>
        <v>Giacomo</v>
      </c>
      <c r="F1260" s="408" t="str">
        <f>IFERROR(AVERAGE(Rankings!$K1260:$R1260), "TBD")</f>
        <v>TBD</v>
      </c>
      <c r="G1260" s="408" t="str">
        <f>IFERROR(_xlfn.STDEV.P(Rankings!$K1260:$R1260), "TBD")</f>
        <v>TBD</v>
      </c>
      <c r="H1260" s="408" t="str">
        <f>IFERROR(AVERAGE(Rankings!$K1260:$L1260, Rankings!$N1260:$R1260), "TBD")</f>
        <v>TBD</v>
      </c>
      <c r="I1260" s="437"/>
      <c r="J1260" s="437"/>
      <c r="K1260" s="430"/>
      <c r="L1260" s="431"/>
      <c r="M1260" s="431"/>
      <c r="N1260" s="555"/>
      <c r="O1260" s="431"/>
      <c r="P1260" s="431"/>
      <c r="Q1260" s="464"/>
      <c r="R1260" s="465"/>
      <c r="S1260" s="466" t="str">
        <f>IF(ISTEXT($V1260), "TBD", RANK(V1260,$V1258:$V1264))</f>
        <v>TBD</v>
      </c>
      <c r="T1260" s="467">
        <v>1.0</v>
      </c>
      <c r="U1260" s="468" t="b">
        <f>Rankings!$S1260=Rankings!$T1260</f>
        <v>0</v>
      </c>
      <c r="V1260" s="553" t="str">
        <f>IF(ISTEXT(Rankings!F1260), "TBD", (RANK($F1260,$F1258:$F1264) + IF(ISTEXT($H1260), 0, (RANK($H1260,$H1258:$H1264)/10)) + (RANK($G1260,$G1258:$G1264)/100)))</f>
        <v>TBD</v>
      </c>
      <c r="W1260" s="153"/>
      <c r="Y1260" s="443"/>
    </row>
    <row r="1261" ht="15.75" customHeight="1">
      <c r="A1261" s="134"/>
      <c r="B1261" s="134"/>
      <c r="C1261" s="134"/>
      <c r="D1261" s="557" t="str">
        <f>D1258</f>
        <v/>
      </c>
      <c r="E1261" s="470" t="str">
        <f>$N$1</f>
        <v>Rosey</v>
      </c>
      <c r="F1261" s="411" t="str">
        <f>IFERROR(AVERAGE(Rankings!$K1261:$R1261), "TBD")</f>
        <v>TBD</v>
      </c>
      <c r="G1261" s="411" t="str">
        <f>IFERROR(_xlfn.STDEV.P(Rankings!$K1261:$R1261), "TBD")</f>
        <v>TBD</v>
      </c>
      <c r="H1261" s="411" t="str">
        <f>IFERROR(AVERAGE(Rankings!$K1261:$M1261, Rankings!$O1261:$R1261), "TBD")</f>
        <v>TBD</v>
      </c>
      <c r="I1261" s="438"/>
      <c r="J1261" s="438"/>
      <c r="K1261" s="430"/>
      <c r="L1261" s="566"/>
      <c r="M1261" s="431"/>
      <c r="N1261" s="555"/>
      <c r="O1261" s="431" t="s">
        <v>1697</v>
      </c>
      <c r="P1261" s="431" t="s">
        <v>1698</v>
      </c>
      <c r="Q1261" s="464" t="s">
        <v>1766</v>
      </c>
      <c r="R1261" s="465"/>
      <c r="S1261" s="466" t="str">
        <f>IF(ISTEXT($V1261), "TBD", RANK(V1261,$V1258:$V1264))</f>
        <v>TBD</v>
      </c>
      <c r="T1261" s="467">
        <v>1.0</v>
      </c>
      <c r="U1261" s="468" t="b">
        <f>Rankings!$S1261=Rankings!$T1261</f>
        <v>0</v>
      </c>
      <c r="V1261" s="553" t="str">
        <f>IF(ISTEXT(Rankings!F1261), "TBD", (RANK($F1261,$F1258:$F1264) + IF(ISTEXT($H1261), 0, (RANK($H1261,$H1258:$H1264)/10)) + (RANK($G1261,$G1258:$G1264)/100)))</f>
        <v>TBD</v>
      </c>
      <c r="W1261" s="153"/>
      <c r="Y1261" s="443"/>
    </row>
    <row r="1262" ht="15.75" customHeight="1">
      <c r="A1262" s="134"/>
      <c r="B1262" s="134"/>
      <c r="C1262" s="134"/>
      <c r="D1262" s="561" t="str">
        <f t="shared" ref="D1262:D1264" si="181">D1258</f>
        <v/>
      </c>
      <c r="E1262" s="471" t="str">
        <f>$O$1</f>
        <v>TTAC</v>
      </c>
      <c r="F1262" s="414" t="str">
        <f>IFERROR(AVERAGE(Rankings!$K1262:$R1262), "TBD")</f>
        <v>TBD</v>
      </c>
      <c r="G1262" s="414" t="str">
        <f>IFERROR(_xlfn.STDEV.P(Rankings!$K1262:$R1262), "TBD")</f>
        <v>TBD</v>
      </c>
      <c r="H1262" s="414" t="str">
        <f>IFERROR(AVERAGE(Rankings!$K1262:$N1262, Rankings!$P1262:$R1262), "TBD")</f>
        <v>TBD</v>
      </c>
      <c r="I1262" s="439"/>
      <c r="J1262" s="439"/>
      <c r="K1262" s="430"/>
      <c r="L1262" s="431"/>
      <c r="M1262" s="431"/>
      <c r="N1262" s="555"/>
      <c r="O1262" s="431"/>
      <c r="P1262" s="431"/>
      <c r="Q1262" s="464"/>
      <c r="R1262" s="465"/>
      <c r="S1262" s="466" t="str">
        <f>IF(ISTEXT($V1262), "TBD", RANK(V1262,$V1258:$V1264))</f>
        <v>TBD</v>
      </c>
      <c r="T1262" s="467">
        <v>1.0</v>
      </c>
      <c r="U1262" s="468" t="b">
        <f>Rankings!$S1262=Rankings!$T1262</f>
        <v>0</v>
      </c>
      <c r="V1262" s="553" t="str">
        <f>IF(ISTEXT(Rankings!F1262), "TBD", (RANK($F1262,$F1258:$F1264) + IF(ISTEXT($H1262), 0, (RANK($H1262,$H1258:$H1264)/10)) + (RANK($G1262,$G1258:$G1264)/100)))</f>
        <v>TBD</v>
      </c>
      <c r="W1262" s="153"/>
      <c r="Y1262" s="443"/>
    </row>
    <row r="1263" ht="15.75" customHeight="1">
      <c r="A1263" s="134"/>
      <c r="B1263" s="134"/>
      <c r="C1263" s="134"/>
      <c r="D1263" s="562" t="str">
        <f t="shared" si="181"/>
        <v/>
      </c>
      <c r="E1263" s="472" t="str">
        <f>$P$1</f>
        <v>Weston</v>
      </c>
      <c r="F1263" s="418" t="str">
        <f>IFERROR(AVERAGE(Rankings!$K1263:$R1263), "TBD")</f>
        <v>TBD</v>
      </c>
      <c r="G1263" s="418" t="str">
        <f>IFERROR(_xlfn.STDEV.P(Rankings!$K1263:$R1263), "TBD")</f>
        <v>TBD</v>
      </c>
      <c r="H1263" s="418" t="str">
        <f>IFERROR(AVERAGE(Rankings!$K1263:$O1263, Rankings!$Q1263:$R1263), "TBD")</f>
        <v>TBD</v>
      </c>
      <c r="I1263" s="440"/>
      <c r="J1263" s="440"/>
      <c r="K1263" s="430"/>
      <c r="L1263" s="431"/>
      <c r="M1263" s="431"/>
      <c r="N1263" s="555"/>
      <c r="O1263" s="431"/>
      <c r="P1263" s="431"/>
      <c r="Q1263" s="464"/>
      <c r="R1263" s="465"/>
      <c r="S1263" s="466" t="str">
        <f>IF(ISTEXT($V1263), "TBD", RANK(V1263,$V1258:$V1264))</f>
        <v>TBD</v>
      </c>
      <c r="T1263" s="467">
        <v>1.0</v>
      </c>
      <c r="U1263" s="468" t="b">
        <f>Rankings!$S1263=Rankings!$T1263</f>
        <v>0</v>
      </c>
      <c r="V1263" s="553" t="str">
        <f>IF(ISTEXT(Rankings!F1263), "TBD", (RANK($F1263,$F1258:$F1264) + IF(ISTEXT($H1263), 0, (RANK($H1263,$H1258:$H1264)/10)) + (RANK($G1263,$G1258:$G1264)/100)))</f>
        <v>TBD</v>
      </c>
      <c r="W1263" s="153"/>
      <c r="Y1263" s="443"/>
    </row>
    <row r="1264" ht="15.75" customHeight="1">
      <c r="A1264" s="189"/>
      <c r="B1264" s="189"/>
      <c r="C1264" s="189"/>
      <c r="D1264" s="563" t="str">
        <f t="shared" si="181"/>
        <v/>
      </c>
      <c r="E1264" s="230" t="str">
        <f>$Q$1</f>
        <v>Flocco</v>
      </c>
      <c r="F1264" s="474" t="str">
        <f>IFERROR(AVERAGE(Rankings!$K1264:$R1264), "TBD")</f>
        <v>TBD</v>
      </c>
      <c r="G1264" s="474" t="str">
        <f>IFERROR(_xlfn.STDEV.P(Rankings!$K1264:$R1264), "TBD")</f>
        <v>TBD</v>
      </c>
      <c r="H1264" s="474" t="str">
        <f>IFERROR(AVERAGE(Rankings!$K1264:$P1264, Rankings!$R1264), "TBD")</f>
        <v>TBD</v>
      </c>
      <c r="I1264" s="475"/>
      <c r="J1264" s="475"/>
      <c r="K1264" s="430"/>
      <c r="L1264" s="431"/>
      <c r="M1264" s="431"/>
      <c r="N1264" s="555"/>
      <c r="O1264" s="431"/>
      <c r="P1264" s="431"/>
      <c r="Q1264" s="464"/>
      <c r="R1264" s="465"/>
      <c r="S1264" s="466" t="str">
        <f>IF(ISTEXT($V1264), "TBD", RANK(V1264,$V1258:$V1264))</f>
        <v>TBD</v>
      </c>
      <c r="T1264" s="467">
        <v>1.0</v>
      </c>
      <c r="U1264" s="468" t="b">
        <f>Rankings!$S1264=Rankings!$T1264</f>
        <v>0</v>
      </c>
      <c r="V1264" s="553" t="str">
        <f>IF(ISTEXT(Rankings!F1264), "TBD", (RANK($F1264,$F1258:$F1264) + IF(ISTEXT($H1264), 0, (RANK($H1264,$H1258:$H1264)/10)) + (RANK($G1264,$G1258:$G1264)/100)))</f>
        <v>TBD</v>
      </c>
      <c r="W1264" s="208"/>
      <c r="Y1264" s="443"/>
    </row>
    <row r="1265" ht="15.75" customHeight="1">
      <c r="A1265" s="103"/>
      <c r="B1265" s="453"/>
      <c r="C1265" s="454" t="str">
        <f t="array" ref="C1265">INDEX(Rankings!$E1265:$E1271, MATCH(1, (Rankings!$D1265:$D1271=$A1265)*(Rankings!$U1265:$U1271=TRUE()), 0))</f>
        <v>#N/A</v>
      </c>
      <c r="D1265" s="551" t="str">
        <f>A1265</f>
        <v/>
      </c>
      <c r="E1265" s="455" t="str">
        <f>$K$1</f>
        <v>Logan</v>
      </c>
      <c r="F1265" s="400" t="str">
        <f>IFERROR(AVERAGE(Rankings!$K1265:$R1265), "TBD")</f>
        <v>TBD</v>
      </c>
      <c r="G1265" s="400" t="str">
        <f>IFERROR(_xlfn.STDEV.P(Rankings!$K1265:$R1265), "TBD")</f>
        <v>TBD</v>
      </c>
      <c r="H1265" s="400" t="str">
        <f>IFERROR(AVERAGE(Rankings!$L1265:$R1265), "TBD")</f>
        <v>TBD</v>
      </c>
      <c r="I1265" s="421"/>
      <c r="J1265" s="421"/>
      <c r="K1265" s="422"/>
      <c r="L1265" s="423"/>
      <c r="M1265" s="423"/>
      <c r="N1265" s="555"/>
      <c r="O1265" s="423"/>
      <c r="P1265" s="423"/>
      <c r="Q1265" s="456"/>
      <c r="R1265" s="457"/>
      <c r="S1265" s="458" t="str">
        <f>IF(ISTEXT($V1265), "TBD", RANK(V1265,$V1265:$V1271))</f>
        <v>TBD</v>
      </c>
      <c r="T1265" s="576">
        <v>1.0</v>
      </c>
      <c r="U1265" s="460" t="b">
        <f>Rankings!$S1265=Rankings!$T1265</f>
        <v>0</v>
      </c>
      <c r="V1265" s="553" t="str">
        <f>IF(ISTEXT(Rankings!F1265), "TBD", (RANK($F1265,$F1265:$F1271) + IF(ISTEXT($H1265), 0, (RANK($H1265,$H1265:$H1271)/10)) + (RANK($G1265,$G1265:$G1271)/100)))</f>
        <v>TBD</v>
      </c>
      <c r="W1265" s="329"/>
      <c r="Y1265" s="443"/>
    </row>
    <row r="1266" ht="15.75" customHeight="1">
      <c r="A1266" s="134"/>
      <c r="B1266" s="134"/>
      <c r="C1266" s="134"/>
      <c r="D1266" s="554" t="str">
        <f>D1265</f>
        <v/>
      </c>
      <c r="E1266" s="463" t="str">
        <f>$L$1</f>
        <v>Parker</v>
      </c>
      <c r="F1266" s="404" t="str">
        <f>IFERROR(AVERAGE(Rankings!$K1266:$R1266), "TBD")</f>
        <v>TBD</v>
      </c>
      <c r="G1266" s="404" t="str">
        <f>IFERROR(_xlfn.STDEV.P(Rankings!$K1266:$R1266), "TBD")</f>
        <v>TBD</v>
      </c>
      <c r="H1266" s="404" t="str">
        <f>IFERROR(AVERAGE(Rankings!$K1266, Rankings!$M1266:$R1266), "TBD")</f>
        <v>TBD</v>
      </c>
      <c r="I1266" s="429"/>
      <c r="J1266" s="429"/>
      <c r="K1266" s="430"/>
      <c r="L1266" s="431"/>
      <c r="M1266" s="431"/>
      <c r="N1266" s="555"/>
      <c r="O1266" s="431"/>
      <c r="P1266" s="431"/>
      <c r="Q1266" s="464"/>
      <c r="R1266" s="465"/>
      <c r="S1266" s="466" t="str">
        <f>IF(ISTEXT($V1266), "TBD", RANK(V1266,$V1265:$V1271))</f>
        <v>TBD</v>
      </c>
      <c r="T1266" s="444">
        <v>1.0</v>
      </c>
      <c r="U1266" s="468" t="b">
        <f>Rankings!$S1266=Rankings!$T1266</f>
        <v>0</v>
      </c>
      <c r="V1266" s="553" t="str">
        <f>IF(ISTEXT(Rankings!F1266), "TBD", (RANK($F1266,$F1265:$F1271) + IF(ISTEXT($H1266), 0, (RANK($H1266,$H1265:$H1271)/10)) + (RANK($G1266,$G1265:$G1271)/100)))</f>
        <v>TBD</v>
      </c>
      <c r="W1266" s="153"/>
      <c r="Y1266" s="443"/>
    </row>
    <row r="1267" ht="15.75" customHeight="1">
      <c r="A1267" s="134"/>
      <c r="B1267" s="134"/>
      <c r="C1267" s="134"/>
      <c r="D1267" s="556" t="str">
        <f>D1265</f>
        <v/>
      </c>
      <c r="E1267" s="469" t="str">
        <f>$M$1</f>
        <v>Giacomo</v>
      </c>
      <c r="F1267" s="408" t="str">
        <f>IFERROR(AVERAGE(Rankings!$K1267:$R1267), "TBD")</f>
        <v>TBD</v>
      </c>
      <c r="G1267" s="408" t="str">
        <f>IFERROR(_xlfn.STDEV.P(Rankings!$K1267:$R1267), "TBD")</f>
        <v>TBD</v>
      </c>
      <c r="H1267" s="408" t="str">
        <f>IFERROR(AVERAGE(Rankings!$K1267:$L1267, Rankings!$N1267:$R1267), "TBD")</f>
        <v>TBD</v>
      </c>
      <c r="I1267" s="437"/>
      <c r="J1267" s="437"/>
      <c r="K1267" s="430"/>
      <c r="L1267" s="431"/>
      <c r="M1267" s="431"/>
      <c r="N1267" s="555"/>
      <c r="O1267" s="431"/>
      <c r="P1267" s="431"/>
      <c r="Q1267" s="464"/>
      <c r="R1267" s="465"/>
      <c r="S1267" s="466" t="str">
        <f>IF(ISTEXT($V1267), "TBD", RANK(V1267,$V1265:$V1271))</f>
        <v>TBD</v>
      </c>
      <c r="T1267" s="467">
        <v>1.0</v>
      </c>
      <c r="U1267" s="468" t="b">
        <f>Rankings!$S1267=Rankings!$T1267</f>
        <v>0</v>
      </c>
      <c r="V1267" s="553" t="str">
        <f>IF(ISTEXT(Rankings!F1267), "TBD", (RANK($F1267,$F1265:$F1271) + IF(ISTEXT($H1267), 0, (RANK($H1267,$H1265:$H1271)/10)) + (RANK($G1267,$G1265:$G1271)/100)))</f>
        <v>TBD</v>
      </c>
      <c r="W1267" s="153"/>
      <c r="Y1267" s="443"/>
    </row>
    <row r="1268" ht="15.75" customHeight="1">
      <c r="A1268" s="134"/>
      <c r="B1268" s="134"/>
      <c r="C1268" s="134"/>
      <c r="D1268" s="557" t="str">
        <f>D1265</f>
        <v/>
      </c>
      <c r="E1268" s="470" t="str">
        <f>$N$1</f>
        <v>Rosey</v>
      </c>
      <c r="F1268" s="411" t="str">
        <f>IFERROR(AVERAGE(Rankings!$K1268:$R1268), "TBD")</f>
        <v>TBD</v>
      </c>
      <c r="G1268" s="411" t="str">
        <f>IFERROR(_xlfn.STDEV.P(Rankings!$K1268:$R1268), "TBD")</f>
        <v>TBD</v>
      </c>
      <c r="H1268" s="411" t="str">
        <f>IFERROR(AVERAGE(Rankings!$K1268:$M1268, Rankings!$O1268:$R1268), "TBD")</f>
        <v>TBD</v>
      </c>
      <c r="I1268" s="438"/>
      <c r="J1268" s="438"/>
      <c r="K1268" s="430"/>
      <c r="L1268" s="566"/>
      <c r="M1268" s="431"/>
      <c r="N1268" s="555"/>
      <c r="O1268" s="431" t="s">
        <v>1697</v>
      </c>
      <c r="P1268" s="431" t="s">
        <v>1698</v>
      </c>
      <c r="Q1268" s="464" t="s">
        <v>1766</v>
      </c>
      <c r="R1268" s="465"/>
      <c r="S1268" s="466" t="str">
        <f>IF(ISTEXT($V1268), "TBD", RANK(V1268,$V1265:$V1271))</f>
        <v>TBD</v>
      </c>
      <c r="T1268" s="467">
        <v>1.0</v>
      </c>
      <c r="U1268" s="468" t="b">
        <f>Rankings!$S1268=Rankings!$T1268</f>
        <v>0</v>
      </c>
      <c r="V1268" s="553" t="str">
        <f>IF(ISTEXT(Rankings!F1268), "TBD", (RANK($F1268,$F1265:$F1271) + IF(ISTEXT($H1268), 0, (RANK($H1268,$H1265:$H1271)/10)) + (RANK($G1268,$G1265:$G1271)/100)))</f>
        <v>TBD</v>
      </c>
      <c r="W1268" s="153"/>
      <c r="Y1268" s="443"/>
    </row>
    <row r="1269" ht="15.75" customHeight="1">
      <c r="A1269" s="134"/>
      <c r="B1269" s="134"/>
      <c r="C1269" s="134"/>
      <c r="D1269" s="561" t="str">
        <f t="shared" ref="D1269:D1271" si="182">D1265</f>
        <v/>
      </c>
      <c r="E1269" s="471" t="str">
        <f>$O$1</f>
        <v>TTAC</v>
      </c>
      <c r="F1269" s="414" t="str">
        <f>IFERROR(AVERAGE(Rankings!$K1269:$R1269), "TBD")</f>
        <v>TBD</v>
      </c>
      <c r="G1269" s="414" t="str">
        <f>IFERROR(_xlfn.STDEV.P(Rankings!$K1269:$R1269), "TBD")</f>
        <v>TBD</v>
      </c>
      <c r="H1269" s="414" t="str">
        <f>IFERROR(AVERAGE(Rankings!$K1269:$N1269, Rankings!$P1269:$R1269), "TBD")</f>
        <v>TBD</v>
      </c>
      <c r="I1269" s="439"/>
      <c r="J1269" s="439"/>
      <c r="K1269" s="430"/>
      <c r="L1269" s="431"/>
      <c r="M1269" s="431"/>
      <c r="N1269" s="555"/>
      <c r="O1269" s="431"/>
      <c r="P1269" s="431"/>
      <c r="Q1269" s="464"/>
      <c r="R1269" s="465"/>
      <c r="S1269" s="466" t="str">
        <f>IF(ISTEXT($V1269), "TBD", RANK(V1269,$V1265:$V1271))</f>
        <v>TBD</v>
      </c>
      <c r="T1269" s="467">
        <v>1.0</v>
      </c>
      <c r="U1269" s="468" t="b">
        <f>Rankings!$S1269=Rankings!$T1269</f>
        <v>0</v>
      </c>
      <c r="V1269" s="553" t="str">
        <f>IF(ISTEXT(Rankings!F1269), "TBD", (RANK($F1269,$F1265:$F1271) + IF(ISTEXT($H1269), 0, (RANK($H1269,$H1265:$H1271)/10)) + (RANK($G1269,$G1265:$G1271)/100)))</f>
        <v>TBD</v>
      </c>
      <c r="W1269" s="153"/>
      <c r="Y1269" s="443"/>
    </row>
    <row r="1270" ht="15.75" customHeight="1">
      <c r="A1270" s="134"/>
      <c r="B1270" s="134"/>
      <c r="C1270" s="134"/>
      <c r="D1270" s="562" t="str">
        <f t="shared" si="182"/>
        <v/>
      </c>
      <c r="E1270" s="472" t="str">
        <f>$P$1</f>
        <v>Weston</v>
      </c>
      <c r="F1270" s="418" t="str">
        <f>IFERROR(AVERAGE(Rankings!$K1270:$R1270), "TBD")</f>
        <v>TBD</v>
      </c>
      <c r="G1270" s="418" t="str">
        <f>IFERROR(_xlfn.STDEV.P(Rankings!$K1270:$R1270), "TBD")</f>
        <v>TBD</v>
      </c>
      <c r="H1270" s="418" t="str">
        <f>IFERROR(AVERAGE(Rankings!$K1270:$O1270, Rankings!$Q1270:$R1270), "TBD")</f>
        <v>TBD</v>
      </c>
      <c r="I1270" s="440"/>
      <c r="J1270" s="440"/>
      <c r="K1270" s="430"/>
      <c r="L1270" s="431"/>
      <c r="M1270" s="431"/>
      <c r="N1270" s="555"/>
      <c r="O1270" s="431"/>
      <c r="P1270" s="431"/>
      <c r="Q1270" s="464"/>
      <c r="R1270" s="465"/>
      <c r="S1270" s="466" t="str">
        <f>IF(ISTEXT($V1270), "TBD", RANK(V1270,$V1265:$V1271))</f>
        <v>TBD</v>
      </c>
      <c r="T1270" s="467">
        <v>1.0</v>
      </c>
      <c r="U1270" s="468" t="b">
        <f>Rankings!$S1270=Rankings!$T1270</f>
        <v>0</v>
      </c>
      <c r="V1270" s="553" t="str">
        <f>IF(ISTEXT(Rankings!F1270), "TBD", (RANK($F1270,$F1265:$F1271) + IF(ISTEXT($H1270), 0, (RANK($H1270,$H1265:$H1271)/10)) + (RANK($G1270,$G1265:$G1271)/100)))</f>
        <v>TBD</v>
      </c>
      <c r="W1270" s="153"/>
      <c r="Y1270" s="443"/>
    </row>
    <row r="1271" ht="15.75" customHeight="1">
      <c r="A1271" s="189"/>
      <c r="B1271" s="189"/>
      <c r="C1271" s="189"/>
      <c r="D1271" s="563" t="str">
        <f t="shared" si="182"/>
        <v/>
      </c>
      <c r="E1271" s="230" t="str">
        <f>$Q$1</f>
        <v>Flocco</v>
      </c>
      <c r="F1271" s="474" t="str">
        <f>IFERROR(AVERAGE(Rankings!$K1271:$R1271), "TBD")</f>
        <v>TBD</v>
      </c>
      <c r="G1271" s="474" t="str">
        <f>IFERROR(_xlfn.STDEV.P(Rankings!$K1271:$R1271), "TBD")</f>
        <v>TBD</v>
      </c>
      <c r="H1271" s="474" t="str">
        <f>IFERROR(AVERAGE(Rankings!$K1271:$P1271, Rankings!$R1271), "TBD")</f>
        <v>TBD</v>
      </c>
      <c r="I1271" s="475"/>
      <c r="J1271" s="475"/>
      <c r="K1271" s="430"/>
      <c r="L1271" s="431"/>
      <c r="M1271" s="431"/>
      <c r="N1271" s="555"/>
      <c r="O1271" s="431"/>
      <c r="P1271" s="431"/>
      <c r="Q1271" s="464"/>
      <c r="R1271" s="465"/>
      <c r="S1271" s="466" t="str">
        <f>IF(ISTEXT($V1271), "TBD", RANK(V1271,$V1265:$V1271))</f>
        <v>TBD</v>
      </c>
      <c r="T1271" s="467">
        <v>1.0</v>
      </c>
      <c r="U1271" s="468" t="b">
        <f>Rankings!$S1271=Rankings!$T1271</f>
        <v>0</v>
      </c>
      <c r="V1271" s="553" t="str">
        <f>IF(ISTEXT(Rankings!F1271), "TBD", (RANK($F1271,$F1265:$F1271) + IF(ISTEXT($H1271), 0, (RANK($H1271,$H1265:$H1271)/10)) + (RANK($G1271,$G1265:$G1271)/100)))</f>
        <v>TBD</v>
      </c>
      <c r="W1271" s="208"/>
      <c r="Y1271" s="443"/>
    </row>
    <row r="1272" ht="15.75" customHeight="1">
      <c r="A1272" s="103"/>
      <c r="B1272" s="453"/>
      <c r="C1272" s="454" t="str">
        <f t="array" ref="C1272">INDEX(Rankings!$E1272:$E1278, MATCH(1, (Rankings!$D1272:$D1278=$A1272)*(Rankings!$U1272:$U1278=TRUE()), 0))</f>
        <v>#N/A</v>
      </c>
      <c r="D1272" s="551" t="str">
        <f>A1272</f>
        <v/>
      </c>
      <c r="E1272" s="455" t="str">
        <f>$K$1</f>
        <v>Logan</v>
      </c>
      <c r="F1272" s="400" t="str">
        <f>IFERROR(AVERAGE(Rankings!$K1272:$R1272), "TBD")</f>
        <v>TBD</v>
      </c>
      <c r="G1272" s="400" t="str">
        <f>IFERROR(_xlfn.STDEV.P(Rankings!$K1272:$R1272), "TBD")</f>
        <v>TBD</v>
      </c>
      <c r="H1272" s="400" t="str">
        <f>IFERROR(AVERAGE(Rankings!$L1272:$R1272), "TBD")</f>
        <v>TBD</v>
      </c>
      <c r="I1272" s="421"/>
      <c r="J1272" s="421"/>
      <c r="K1272" s="422"/>
      <c r="L1272" s="423"/>
      <c r="M1272" s="423"/>
      <c r="N1272" s="555"/>
      <c r="O1272" s="423"/>
      <c r="P1272" s="423"/>
      <c r="Q1272" s="456"/>
      <c r="R1272" s="457"/>
      <c r="S1272" s="458" t="str">
        <f>IF(ISTEXT($V1272), "TBD", RANK(V1272,$V1272:$V1278))</f>
        <v>TBD</v>
      </c>
      <c r="T1272" s="576">
        <v>1.0</v>
      </c>
      <c r="U1272" s="460" t="b">
        <f>Rankings!$S1272=Rankings!$T1272</f>
        <v>0</v>
      </c>
      <c r="V1272" s="553" t="str">
        <f>IF(ISTEXT(Rankings!F1272), "TBD", (RANK($F1272,$F1272:$F1278) + IF(ISTEXT($H1272), 0, (RANK($H1272,$H1272:$H1278)/10)) + (RANK($G1272,$G1272:$G1278)/100)))</f>
        <v>TBD</v>
      </c>
      <c r="W1272" s="329"/>
      <c r="Y1272" s="443"/>
    </row>
    <row r="1273" ht="15.75" customHeight="1">
      <c r="A1273" s="134"/>
      <c r="B1273" s="134"/>
      <c r="C1273" s="134"/>
      <c r="D1273" s="554" t="str">
        <f>D1272</f>
        <v/>
      </c>
      <c r="E1273" s="463" t="str">
        <f>$L$1</f>
        <v>Parker</v>
      </c>
      <c r="F1273" s="404" t="str">
        <f>IFERROR(AVERAGE(Rankings!$K1273:$R1273), "TBD")</f>
        <v>TBD</v>
      </c>
      <c r="G1273" s="404" t="str">
        <f>IFERROR(_xlfn.STDEV.P(Rankings!$K1273:$R1273), "TBD")</f>
        <v>TBD</v>
      </c>
      <c r="H1273" s="404" t="str">
        <f>IFERROR(AVERAGE(Rankings!$K1273, Rankings!$M1273:$R1273), "TBD")</f>
        <v>TBD</v>
      </c>
      <c r="I1273" s="429"/>
      <c r="J1273" s="429"/>
      <c r="K1273" s="430"/>
      <c r="L1273" s="431"/>
      <c r="M1273" s="431"/>
      <c r="N1273" s="555"/>
      <c r="O1273" s="431"/>
      <c r="P1273" s="431"/>
      <c r="Q1273" s="464"/>
      <c r="R1273" s="465"/>
      <c r="S1273" s="466" t="str">
        <f>IF(ISTEXT($V1273), "TBD", RANK(V1273,$V1272:$V1278))</f>
        <v>TBD</v>
      </c>
      <c r="T1273" s="444">
        <v>1.0</v>
      </c>
      <c r="U1273" s="468" t="b">
        <f>Rankings!$S1273=Rankings!$T1273</f>
        <v>0</v>
      </c>
      <c r="V1273" s="553" t="str">
        <f>IF(ISTEXT(Rankings!F1273), "TBD", (RANK($F1273,$F1272:$F1278) + IF(ISTEXT($H1273), 0, (RANK($H1273,$H1272:$H1278)/10)) + (RANK($G1273,$G1272:$G1278)/100)))</f>
        <v>TBD</v>
      </c>
      <c r="W1273" s="153"/>
      <c r="Y1273" s="443"/>
    </row>
    <row r="1274" ht="15.75" customHeight="1">
      <c r="A1274" s="134"/>
      <c r="B1274" s="134"/>
      <c r="C1274" s="134"/>
      <c r="D1274" s="556" t="str">
        <f>D1272</f>
        <v/>
      </c>
      <c r="E1274" s="469" t="str">
        <f>$M$1</f>
        <v>Giacomo</v>
      </c>
      <c r="F1274" s="408" t="str">
        <f>IFERROR(AVERAGE(Rankings!$K1274:$R1274), "TBD")</f>
        <v>TBD</v>
      </c>
      <c r="G1274" s="408" t="str">
        <f>IFERROR(_xlfn.STDEV.P(Rankings!$K1274:$R1274), "TBD")</f>
        <v>TBD</v>
      </c>
      <c r="H1274" s="408" t="str">
        <f>IFERROR(AVERAGE(Rankings!$K1274:$L1274, Rankings!$N1274:$R1274), "TBD")</f>
        <v>TBD</v>
      </c>
      <c r="I1274" s="437"/>
      <c r="J1274" s="437"/>
      <c r="K1274" s="430"/>
      <c r="L1274" s="431"/>
      <c r="M1274" s="431"/>
      <c r="N1274" s="555"/>
      <c r="O1274" s="431"/>
      <c r="P1274" s="431"/>
      <c r="Q1274" s="464"/>
      <c r="R1274" s="465"/>
      <c r="S1274" s="466" t="str">
        <f>IF(ISTEXT($V1274), "TBD", RANK(V1274,$V1272:$V1278))</f>
        <v>TBD</v>
      </c>
      <c r="T1274" s="467">
        <v>1.0</v>
      </c>
      <c r="U1274" s="468" t="b">
        <f>Rankings!$S1274=Rankings!$T1274</f>
        <v>0</v>
      </c>
      <c r="V1274" s="553" t="str">
        <f>IF(ISTEXT(Rankings!F1274), "TBD", (RANK($F1274,$F1272:$F1278) + IF(ISTEXT($H1274), 0, (RANK($H1274,$H1272:$H1278)/10)) + (RANK($G1274,$G1272:$G1278)/100)))</f>
        <v>TBD</v>
      </c>
      <c r="W1274" s="153"/>
      <c r="Y1274" s="443"/>
    </row>
    <row r="1275" ht="15.75" customHeight="1">
      <c r="A1275" s="134"/>
      <c r="B1275" s="134"/>
      <c r="C1275" s="134"/>
      <c r="D1275" s="557" t="str">
        <f>D1272</f>
        <v/>
      </c>
      <c r="E1275" s="470" t="str">
        <f>$N$1</f>
        <v>Rosey</v>
      </c>
      <c r="F1275" s="411" t="str">
        <f>IFERROR(AVERAGE(Rankings!$K1275:$R1275), "TBD")</f>
        <v>TBD</v>
      </c>
      <c r="G1275" s="411" t="str">
        <f>IFERROR(_xlfn.STDEV.P(Rankings!$K1275:$R1275), "TBD")</f>
        <v>TBD</v>
      </c>
      <c r="H1275" s="411" t="str">
        <f>IFERROR(AVERAGE(Rankings!$K1275:$M1275, Rankings!$O1275:$R1275), "TBD")</f>
        <v>TBD</v>
      </c>
      <c r="I1275" s="438"/>
      <c r="J1275" s="438"/>
      <c r="K1275" s="430"/>
      <c r="L1275" s="566"/>
      <c r="M1275" s="431"/>
      <c r="N1275" s="555"/>
      <c r="O1275" s="431" t="s">
        <v>1697</v>
      </c>
      <c r="P1275" s="431" t="s">
        <v>1698</v>
      </c>
      <c r="Q1275" s="464" t="s">
        <v>1766</v>
      </c>
      <c r="R1275" s="465"/>
      <c r="S1275" s="466" t="str">
        <f>IF(ISTEXT($V1275), "TBD", RANK(V1275,$V1272:$V1278))</f>
        <v>TBD</v>
      </c>
      <c r="T1275" s="467">
        <v>1.0</v>
      </c>
      <c r="U1275" s="468" t="b">
        <f>Rankings!$S1275=Rankings!$T1275</f>
        <v>0</v>
      </c>
      <c r="V1275" s="553" t="str">
        <f>IF(ISTEXT(Rankings!F1275), "TBD", (RANK($F1275,$F1272:$F1278) + IF(ISTEXT($H1275), 0, (RANK($H1275,$H1272:$H1278)/10)) + (RANK($G1275,$G1272:$G1278)/100)))</f>
        <v>TBD</v>
      </c>
      <c r="W1275" s="153"/>
      <c r="Y1275" s="443"/>
    </row>
    <row r="1276" ht="15.75" customHeight="1">
      <c r="A1276" s="134"/>
      <c r="B1276" s="134"/>
      <c r="C1276" s="134"/>
      <c r="D1276" s="561" t="str">
        <f t="shared" ref="D1276:D1278" si="183">D1272</f>
        <v/>
      </c>
      <c r="E1276" s="471" t="str">
        <f>$O$1</f>
        <v>TTAC</v>
      </c>
      <c r="F1276" s="414" t="str">
        <f>IFERROR(AVERAGE(Rankings!$K1276:$R1276), "TBD")</f>
        <v>TBD</v>
      </c>
      <c r="G1276" s="414" t="str">
        <f>IFERROR(_xlfn.STDEV.P(Rankings!$K1276:$R1276), "TBD")</f>
        <v>TBD</v>
      </c>
      <c r="H1276" s="414" t="str">
        <f>IFERROR(AVERAGE(Rankings!$K1276:$N1276, Rankings!$P1276:$R1276), "TBD")</f>
        <v>TBD</v>
      </c>
      <c r="I1276" s="439"/>
      <c r="J1276" s="439"/>
      <c r="K1276" s="430"/>
      <c r="L1276" s="431"/>
      <c r="M1276" s="431"/>
      <c r="N1276" s="555"/>
      <c r="O1276" s="431"/>
      <c r="P1276" s="431"/>
      <c r="Q1276" s="464"/>
      <c r="R1276" s="465"/>
      <c r="S1276" s="466" t="str">
        <f>IF(ISTEXT($V1276), "TBD", RANK(V1276,$V1272:$V1278))</f>
        <v>TBD</v>
      </c>
      <c r="T1276" s="467">
        <v>1.0</v>
      </c>
      <c r="U1276" s="468" t="b">
        <f>Rankings!$S1276=Rankings!$T1276</f>
        <v>0</v>
      </c>
      <c r="V1276" s="553" t="str">
        <f>IF(ISTEXT(Rankings!F1276), "TBD", (RANK($F1276,$F1272:$F1278) + IF(ISTEXT($H1276), 0, (RANK($H1276,$H1272:$H1278)/10)) + (RANK($G1276,$G1272:$G1278)/100)))</f>
        <v>TBD</v>
      </c>
      <c r="W1276" s="153"/>
      <c r="Y1276" s="443"/>
    </row>
    <row r="1277" ht="15.75" customHeight="1">
      <c r="A1277" s="134"/>
      <c r="B1277" s="134"/>
      <c r="C1277" s="134"/>
      <c r="D1277" s="562" t="str">
        <f t="shared" si="183"/>
        <v/>
      </c>
      <c r="E1277" s="472" t="str">
        <f>$P$1</f>
        <v>Weston</v>
      </c>
      <c r="F1277" s="418" t="str">
        <f>IFERROR(AVERAGE(Rankings!$K1277:$R1277), "TBD")</f>
        <v>TBD</v>
      </c>
      <c r="G1277" s="418" t="str">
        <f>IFERROR(_xlfn.STDEV.P(Rankings!$K1277:$R1277), "TBD")</f>
        <v>TBD</v>
      </c>
      <c r="H1277" s="418" t="str">
        <f>IFERROR(AVERAGE(Rankings!$K1277:$O1277, Rankings!$Q1277:$R1277), "TBD")</f>
        <v>TBD</v>
      </c>
      <c r="I1277" s="440"/>
      <c r="J1277" s="440"/>
      <c r="K1277" s="430"/>
      <c r="L1277" s="431"/>
      <c r="M1277" s="431"/>
      <c r="N1277" s="555"/>
      <c r="O1277" s="431"/>
      <c r="P1277" s="431"/>
      <c r="Q1277" s="464"/>
      <c r="R1277" s="465"/>
      <c r="S1277" s="466" t="str">
        <f>IF(ISTEXT($V1277), "TBD", RANK(V1277,$V1272:$V1278))</f>
        <v>TBD</v>
      </c>
      <c r="T1277" s="467">
        <v>1.0</v>
      </c>
      <c r="U1277" s="468" t="b">
        <f>Rankings!$S1277=Rankings!$T1277</f>
        <v>0</v>
      </c>
      <c r="V1277" s="553" t="str">
        <f>IF(ISTEXT(Rankings!F1277), "TBD", (RANK($F1277,$F1272:$F1278) + IF(ISTEXT($H1277), 0, (RANK($H1277,$H1272:$H1278)/10)) + (RANK($G1277,$G1272:$G1278)/100)))</f>
        <v>TBD</v>
      </c>
      <c r="W1277" s="153"/>
      <c r="Y1277" s="443"/>
    </row>
    <row r="1278" ht="15.75" customHeight="1">
      <c r="A1278" s="189"/>
      <c r="B1278" s="189"/>
      <c r="C1278" s="189"/>
      <c r="D1278" s="563" t="str">
        <f t="shared" si="183"/>
        <v/>
      </c>
      <c r="E1278" s="230" t="str">
        <f>$Q$1</f>
        <v>Flocco</v>
      </c>
      <c r="F1278" s="474" t="str">
        <f>IFERROR(AVERAGE(Rankings!$K1278:$R1278), "TBD")</f>
        <v>TBD</v>
      </c>
      <c r="G1278" s="474" t="str">
        <f>IFERROR(_xlfn.STDEV.P(Rankings!$K1278:$R1278), "TBD")</f>
        <v>TBD</v>
      </c>
      <c r="H1278" s="474" t="str">
        <f>IFERROR(AVERAGE(Rankings!$K1278:$P1278, Rankings!$R1278), "TBD")</f>
        <v>TBD</v>
      </c>
      <c r="I1278" s="475"/>
      <c r="J1278" s="475"/>
      <c r="K1278" s="430"/>
      <c r="L1278" s="431"/>
      <c r="M1278" s="431"/>
      <c r="N1278" s="555"/>
      <c r="O1278" s="431"/>
      <c r="P1278" s="431"/>
      <c r="Q1278" s="464"/>
      <c r="R1278" s="465"/>
      <c r="S1278" s="466" t="str">
        <f>IF(ISTEXT($V1278), "TBD", RANK(V1278,$V1272:$V1278))</f>
        <v>TBD</v>
      </c>
      <c r="T1278" s="467">
        <v>1.0</v>
      </c>
      <c r="U1278" s="468" t="b">
        <f>Rankings!$S1278=Rankings!$T1278</f>
        <v>0</v>
      </c>
      <c r="V1278" s="553" t="str">
        <f>IF(ISTEXT(Rankings!F1278), "TBD", (RANK($F1278,$F1272:$F1278) + IF(ISTEXT($H1278), 0, (RANK($H1278,$H1272:$H1278)/10)) + (RANK($G1278,$G1272:$G1278)/100)))</f>
        <v>TBD</v>
      </c>
      <c r="W1278" s="208"/>
      <c r="Y1278" s="443"/>
    </row>
    <row r="1279" ht="15.75" customHeight="1">
      <c r="A1279" s="103"/>
      <c r="B1279" s="453"/>
      <c r="C1279" s="454" t="str">
        <f t="array" ref="C1279">INDEX(Rankings!$E1279:$E1285, MATCH(1, (Rankings!$D1279:$D1285=$A1279)*(Rankings!$U1279:$U1285=TRUE()), 0))</f>
        <v>#N/A</v>
      </c>
      <c r="D1279" s="551" t="str">
        <f>A1279</f>
        <v/>
      </c>
      <c r="E1279" s="455" t="str">
        <f>$K$1</f>
        <v>Logan</v>
      </c>
      <c r="F1279" s="400" t="str">
        <f>IFERROR(AVERAGE(Rankings!$K1279:$R1279), "TBD")</f>
        <v>TBD</v>
      </c>
      <c r="G1279" s="400" t="str">
        <f>IFERROR(_xlfn.STDEV.P(Rankings!$K1279:$R1279), "TBD")</f>
        <v>TBD</v>
      </c>
      <c r="H1279" s="400" t="str">
        <f>IFERROR(AVERAGE(Rankings!$L1279:$R1279), "TBD")</f>
        <v>TBD</v>
      </c>
      <c r="I1279" s="421"/>
      <c r="J1279" s="421"/>
      <c r="K1279" s="422"/>
      <c r="L1279" s="423"/>
      <c r="M1279" s="423"/>
      <c r="N1279" s="555"/>
      <c r="O1279" s="423"/>
      <c r="P1279" s="423"/>
      <c r="Q1279" s="456"/>
      <c r="R1279" s="457"/>
      <c r="S1279" s="458" t="str">
        <f>IF(ISTEXT($V1279), "TBD", RANK(V1279,$V1279:$V1285))</f>
        <v>TBD</v>
      </c>
      <c r="T1279" s="576">
        <v>1.0</v>
      </c>
      <c r="U1279" s="460" t="b">
        <f>Rankings!$S1279=Rankings!$T1279</f>
        <v>0</v>
      </c>
      <c r="V1279" s="553" t="str">
        <f>IF(ISTEXT(Rankings!F1279), "TBD", (RANK($F1279,$F1279:$F1285) + IF(ISTEXT($H1279), 0, (RANK($H1279,$H1279:$H1285)/10)) + (RANK($G1279,$G1279:$G1285)/100)))</f>
        <v>TBD</v>
      </c>
      <c r="W1279" s="329"/>
      <c r="Y1279" s="443"/>
    </row>
    <row r="1280" ht="15.75" customHeight="1">
      <c r="A1280" s="134"/>
      <c r="B1280" s="134"/>
      <c r="C1280" s="134"/>
      <c r="D1280" s="554" t="str">
        <f>D1279</f>
        <v/>
      </c>
      <c r="E1280" s="463" t="str">
        <f>$L$1</f>
        <v>Parker</v>
      </c>
      <c r="F1280" s="404" t="str">
        <f>IFERROR(AVERAGE(Rankings!$K1280:$R1280), "TBD")</f>
        <v>TBD</v>
      </c>
      <c r="G1280" s="404" t="str">
        <f>IFERROR(_xlfn.STDEV.P(Rankings!$K1280:$R1280), "TBD")</f>
        <v>TBD</v>
      </c>
      <c r="H1280" s="404" t="str">
        <f>IFERROR(AVERAGE(Rankings!$K1280, Rankings!$M1280:$R1280), "TBD")</f>
        <v>TBD</v>
      </c>
      <c r="I1280" s="429"/>
      <c r="J1280" s="429"/>
      <c r="K1280" s="430"/>
      <c r="L1280" s="431"/>
      <c r="M1280" s="431"/>
      <c r="N1280" s="555"/>
      <c r="O1280" s="431"/>
      <c r="P1280" s="431"/>
      <c r="Q1280" s="464"/>
      <c r="R1280" s="465"/>
      <c r="S1280" s="466" t="str">
        <f>IF(ISTEXT($V1280), "TBD", RANK(V1280,$V1279:$V1285))</f>
        <v>TBD</v>
      </c>
      <c r="T1280" s="444">
        <v>1.0</v>
      </c>
      <c r="U1280" s="468" t="b">
        <f>Rankings!$S1280=Rankings!$T1280</f>
        <v>0</v>
      </c>
      <c r="V1280" s="553" t="str">
        <f>IF(ISTEXT(Rankings!F1280), "TBD", (RANK($F1280,$F1279:$F1285) + IF(ISTEXT($H1280), 0, (RANK($H1280,$H1279:$H1285)/10)) + (RANK($G1280,$G1279:$G1285)/100)))</f>
        <v>TBD</v>
      </c>
      <c r="W1280" s="153"/>
      <c r="Y1280" s="443"/>
    </row>
    <row r="1281" ht="15.75" customHeight="1">
      <c r="A1281" s="134"/>
      <c r="B1281" s="134"/>
      <c r="C1281" s="134"/>
      <c r="D1281" s="556" t="str">
        <f>D1279</f>
        <v/>
      </c>
      <c r="E1281" s="469" t="str">
        <f>$M$1</f>
        <v>Giacomo</v>
      </c>
      <c r="F1281" s="408" t="str">
        <f>IFERROR(AVERAGE(Rankings!$K1281:$R1281), "TBD")</f>
        <v>TBD</v>
      </c>
      <c r="G1281" s="408" t="str">
        <f>IFERROR(_xlfn.STDEV.P(Rankings!$K1281:$R1281), "TBD")</f>
        <v>TBD</v>
      </c>
      <c r="H1281" s="408" t="str">
        <f>IFERROR(AVERAGE(Rankings!$K1281:$L1281, Rankings!$N1281:$R1281), "TBD")</f>
        <v>TBD</v>
      </c>
      <c r="I1281" s="437"/>
      <c r="J1281" s="437"/>
      <c r="K1281" s="430"/>
      <c r="L1281" s="431"/>
      <c r="M1281" s="431"/>
      <c r="N1281" s="555"/>
      <c r="O1281" s="431"/>
      <c r="P1281" s="431"/>
      <c r="Q1281" s="464"/>
      <c r="R1281" s="465"/>
      <c r="S1281" s="466" t="str">
        <f>IF(ISTEXT($V1281), "TBD", RANK(V1281,$V1279:$V1285))</f>
        <v>TBD</v>
      </c>
      <c r="T1281" s="467">
        <v>1.0</v>
      </c>
      <c r="U1281" s="468" t="b">
        <f>Rankings!$S1281=Rankings!$T1281</f>
        <v>0</v>
      </c>
      <c r="V1281" s="553" t="str">
        <f>IF(ISTEXT(Rankings!F1281), "TBD", (RANK($F1281,$F1279:$F1285) + IF(ISTEXT($H1281), 0, (RANK($H1281,$H1279:$H1285)/10)) + (RANK($G1281,$G1279:$G1285)/100)))</f>
        <v>TBD</v>
      </c>
      <c r="W1281" s="153"/>
      <c r="Y1281" s="443"/>
    </row>
    <row r="1282" ht="15.75" customHeight="1">
      <c r="A1282" s="134"/>
      <c r="B1282" s="134"/>
      <c r="C1282" s="134"/>
      <c r="D1282" s="557" t="str">
        <f>D1279</f>
        <v/>
      </c>
      <c r="E1282" s="470" t="str">
        <f>$N$1</f>
        <v>Rosey</v>
      </c>
      <c r="F1282" s="411" t="str">
        <f>IFERROR(AVERAGE(Rankings!$K1282:$R1282), "TBD")</f>
        <v>TBD</v>
      </c>
      <c r="G1282" s="411" t="str">
        <f>IFERROR(_xlfn.STDEV.P(Rankings!$K1282:$R1282), "TBD")</f>
        <v>TBD</v>
      </c>
      <c r="H1282" s="411" t="str">
        <f>IFERROR(AVERAGE(Rankings!$K1282:$M1282, Rankings!$O1282:$R1282), "TBD")</f>
        <v>TBD</v>
      </c>
      <c r="I1282" s="438"/>
      <c r="J1282" s="438"/>
      <c r="K1282" s="430"/>
      <c r="L1282" s="566"/>
      <c r="M1282" s="431"/>
      <c r="N1282" s="555"/>
      <c r="O1282" s="431" t="s">
        <v>1697</v>
      </c>
      <c r="P1282" s="431" t="s">
        <v>1698</v>
      </c>
      <c r="Q1282" s="464" t="s">
        <v>1766</v>
      </c>
      <c r="R1282" s="465"/>
      <c r="S1282" s="466" t="str">
        <f>IF(ISTEXT($V1282), "TBD", RANK(V1282,$V1279:$V1285))</f>
        <v>TBD</v>
      </c>
      <c r="T1282" s="467">
        <v>1.0</v>
      </c>
      <c r="U1282" s="468" t="b">
        <f>Rankings!$S1282=Rankings!$T1282</f>
        <v>0</v>
      </c>
      <c r="V1282" s="553" t="str">
        <f>IF(ISTEXT(Rankings!F1282), "TBD", (RANK($F1282,$F1279:$F1285) + IF(ISTEXT($H1282), 0, (RANK($H1282,$H1279:$H1285)/10)) + (RANK($G1282,$G1279:$G1285)/100)))</f>
        <v>TBD</v>
      </c>
      <c r="W1282" s="153"/>
      <c r="Y1282" s="443"/>
    </row>
    <row r="1283" ht="15.75" customHeight="1">
      <c r="A1283" s="134"/>
      <c r="B1283" s="134"/>
      <c r="C1283" s="134"/>
      <c r="D1283" s="561" t="str">
        <f t="shared" ref="D1283:D1285" si="184">D1279</f>
        <v/>
      </c>
      <c r="E1283" s="471" t="str">
        <f>$O$1</f>
        <v>TTAC</v>
      </c>
      <c r="F1283" s="414" t="str">
        <f>IFERROR(AVERAGE(Rankings!$K1283:$R1283), "TBD")</f>
        <v>TBD</v>
      </c>
      <c r="G1283" s="414" t="str">
        <f>IFERROR(_xlfn.STDEV.P(Rankings!$K1283:$R1283), "TBD")</f>
        <v>TBD</v>
      </c>
      <c r="H1283" s="414" t="str">
        <f>IFERROR(AVERAGE(Rankings!$K1283:$N1283, Rankings!$P1283:$R1283), "TBD")</f>
        <v>TBD</v>
      </c>
      <c r="I1283" s="439"/>
      <c r="J1283" s="439"/>
      <c r="K1283" s="430"/>
      <c r="L1283" s="431"/>
      <c r="M1283" s="431"/>
      <c r="N1283" s="555"/>
      <c r="O1283" s="431"/>
      <c r="P1283" s="431"/>
      <c r="Q1283" s="464"/>
      <c r="R1283" s="465"/>
      <c r="S1283" s="466" t="str">
        <f>IF(ISTEXT($V1283), "TBD", RANK(V1283,$V1279:$V1285))</f>
        <v>TBD</v>
      </c>
      <c r="T1283" s="467">
        <v>1.0</v>
      </c>
      <c r="U1283" s="468" t="b">
        <f>Rankings!$S1283=Rankings!$T1283</f>
        <v>0</v>
      </c>
      <c r="V1283" s="553" t="str">
        <f>IF(ISTEXT(Rankings!F1283), "TBD", (RANK($F1283,$F1279:$F1285) + IF(ISTEXT($H1283), 0, (RANK($H1283,$H1279:$H1285)/10)) + (RANK($G1283,$G1279:$G1285)/100)))</f>
        <v>TBD</v>
      </c>
      <c r="W1283" s="153"/>
      <c r="Y1283" s="443"/>
    </row>
    <row r="1284" ht="15.75" customHeight="1">
      <c r="A1284" s="134"/>
      <c r="B1284" s="134"/>
      <c r="C1284" s="134"/>
      <c r="D1284" s="562" t="str">
        <f t="shared" si="184"/>
        <v/>
      </c>
      <c r="E1284" s="472" t="str">
        <f>$P$1</f>
        <v>Weston</v>
      </c>
      <c r="F1284" s="418" t="str">
        <f>IFERROR(AVERAGE(Rankings!$K1284:$R1284), "TBD")</f>
        <v>TBD</v>
      </c>
      <c r="G1284" s="418" t="str">
        <f>IFERROR(_xlfn.STDEV.P(Rankings!$K1284:$R1284), "TBD")</f>
        <v>TBD</v>
      </c>
      <c r="H1284" s="418" t="str">
        <f>IFERROR(AVERAGE(Rankings!$K1284:$O1284, Rankings!$Q1284:$R1284), "TBD")</f>
        <v>TBD</v>
      </c>
      <c r="I1284" s="440"/>
      <c r="J1284" s="440"/>
      <c r="K1284" s="430"/>
      <c r="L1284" s="431"/>
      <c r="M1284" s="431"/>
      <c r="N1284" s="555"/>
      <c r="O1284" s="431"/>
      <c r="P1284" s="431"/>
      <c r="Q1284" s="464"/>
      <c r="R1284" s="465"/>
      <c r="S1284" s="466" t="str">
        <f>IF(ISTEXT($V1284), "TBD", RANK(V1284,$V1279:$V1285))</f>
        <v>TBD</v>
      </c>
      <c r="T1284" s="467">
        <v>1.0</v>
      </c>
      <c r="U1284" s="468" t="b">
        <f>Rankings!$S1284=Rankings!$T1284</f>
        <v>0</v>
      </c>
      <c r="V1284" s="553" t="str">
        <f>IF(ISTEXT(Rankings!F1284), "TBD", (RANK($F1284,$F1279:$F1285) + IF(ISTEXT($H1284), 0, (RANK($H1284,$H1279:$H1285)/10)) + (RANK($G1284,$G1279:$G1285)/100)))</f>
        <v>TBD</v>
      </c>
      <c r="W1284" s="153"/>
      <c r="Y1284" s="443"/>
    </row>
    <row r="1285" ht="15.75" customHeight="1">
      <c r="A1285" s="189"/>
      <c r="B1285" s="189"/>
      <c r="C1285" s="189"/>
      <c r="D1285" s="563" t="str">
        <f t="shared" si="184"/>
        <v/>
      </c>
      <c r="E1285" s="230" t="str">
        <f>$Q$1</f>
        <v>Flocco</v>
      </c>
      <c r="F1285" s="474" t="str">
        <f>IFERROR(AVERAGE(Rankings!$K1285:$R1285), "TBD")</f>
        <v>TBD</v>
      </c>
      <c r="G1285" s="474" t="str">
        <f>IFERROR(_xlfn.STDEV.P(Rankings!$K1285:$R1285), "TBD")</f>
        <v>TBD</v>
      </c>
      <c r="H1285" s="474" t="str">
        <f>IFERROR(AVERAGE(Rankings!$K1285:$P1285, Rankings!$R1285), "TBD")</f>
        <v>TBD</v>
      </c>
      <c r="I1285" s="475"/>
      <c r="J1285" s="475"/>
      <c r="K1285" s="430"/>
      <c r="L1285" s="431"/>
      <c r="M1285" s="431"/>
      <c r="N1285" s="555"/>
      <c r="O1285" s="431"/>
      <c r="P1285" s="431"/>
      <c r="Q1285" s="464"/>
      <c r="R1285" s="465"/>
      <c r="S1285" s="466" t="str">
        <f>IF(ISTEXT($V1285), "TBD", RANK(V1285,$V1279:$V1285))</f>
        <v>TBD</v>
      </c>
      <c r="T1285" s="467">
        <v>1.0</v>
      </c>
      <c r="U1285" s="468" t="b">
        <f>Rankings!$S1285=Rankings!$T1285</f>
        <v>0</v>
      </c>
      <c r="V1285" s="553" t="str">
        <f>IF(ISTEXT(Rankings!F1285), "TBD", (RANK($F1285,$F1279:$F1285) + IF(ISTEXT($H1285), 0, (RANK($H1285,$H1279:$H1285)/10)) + (RANK($G1285,$G1279:$G1285)/100)))</f>
        <v>TBD</v>
      </c>
      <c r="W1285" s="208"/>
      <c r="Y1285" s="443"/>
    </row>
    <row r="1286" ht="15.75" customHeight="1">
      <c r="A1286" s="103"/>
      <c r="B1286" s="453"/>
      <c r="C1286" s="454" t="str">
        <f t="array" ref="C1286">INDEX(Rankings!$E1286:$E1292, MATCH(1, (Rankings!$D1286:$D1292=$A1286)*(Rankings!$U1286:$U1292=TRUE()), 0))</f>
        <v>#N/A</v>
      </c>
      <c r="D1286" s="551" t="str">
        <f>A1286</f>
        <v/>
      </c>
      <c r="E1286" s="455" t="str">
        <f>$K$1</f>
        <v>Logan</v>
      </c>
      <c r="F1286" s="400" t="str">
        <f>IFERROR(AVERAGE(Rankings!$K1286:$R1286), "TBD")</f>
        <v>TBD</v>
      </c>
      <c r="G1286" s="400" t="str">
        <f>IFERROR(_xlfn.STDEV.P(Rankings!$K1286:$R1286), "TBD")</f>
        <v>TBD</v>
      </c>
      <c r="H1286" s="400" t="str">
        <f>IFERROR(AVERAGE(Rankings!$L1286:$R1286), "TBD")</f>
        <v>TBD</v>
      </c>
      <c r="I1286" s="421"/>
      <c r="J1286" s="421"/>
      <c r="K1286" s="422"/>
      <c r="L1286" s="423"/>
      <c r="M1286" s="423"/>
      <c r="N1286" s="555"/>
      <c r="O1286" s="423"/>
      <c r="P1286" s="423"/>
      <c r="Q1286" s="456"/>
      <c r="R1286" s="457"/>
      <c r="S1286" s="458" t="str">
        <f>IF(ISTEXT($V1286), "TBD", RANK(V1286,$V1286:$V1292))</f>
        <v>TBD</v>
      </c>
      <c r="T1286" s="576">
        <v>1.0</v>
      </c>
      <c r="U1286" s="460" t="b">
        <f>Rankings!$S1286=Rankings!$T1286</f>
        <v>0</v>
      </c>
      <c r="V1286" s="553" t="str">
        <f>IF(ISTEXT(Rankings!F1286), "TBD", (RANK($F1286,$F1286:$F1292) + IF(ISTEXT($H1286), 0, (RANK($H1286,$H1286:$H1292)/10)) + (RANK($G1286,$G1286:$G1292)/100)))</f>
        <v>TBD</v>
      </c>
      <c r="W1286" s="329"/>
      <c r="Y1286" s="443"/>
    </row>
    <row r="1287" ht="15.75" customHeight="1">
      <c r="A1287" s="134"/>
      <c r="B1287" s="134"/>
      <c r="C1287" s="134"/>
      <c r="D1287" s="554" t="str">
        <f>D1286</f>
        <v/>
      </c>
      <c r="E1287" s="463" t="str">
        <f>$L$1</f>
        <v>Parker</v>
      </c>
      <c r="F1287" s="404" t="str">
        <f>IFERROR(AVERAGE(Rankings!$K1287:$R1287), "TBD")</f>
        <v>TBD</v>
      </c>
      <c r="G1287" s="404" t="str">
        <f>IFERROR(_xlfn.STDEV.P(Rankings!$K1287:$R1287), "TBD")</f>
        <v>TBD</v>
      </c>
      <c r="H1287" s="404" t="str">
        <f>IFERROR(AVERAGE(Rankings!$K1287, Rankings!$M1287:$R1287), "TBD")</f>
        <v>TBD</v>
      </c>
      <c r="I1287" s="429"/>
      <c r="J1287" s="429"/>
      <c r="K1287" s="430"/>
      <c r="L1287" s="431"/>
      <c r="M1287" s="431"/>
      <c r="N1287" s="555"/>
      <c r="O1287" s="431"/>
      <c r="P1287" s="431"/>
      <c r="Q1287" s="464"/>
      <c r="R1287" s="465"/>
      <c r="S1287" s="466" t="str">
        <f>IF(ISTEXT($V1287), "TBD", RANK(V1287,$V1286:$V1292))</f>
        <v>TBD</v>
      </c>
      <c r="T1287" s="444">
        <v>1.0</v>
      </c>
      <c r="U1287" s="468" t="b">
        <f>Rankings!$S1287=Rankings!$T1287</f>
        <v>0</v>
      </c>
      <c r="V1287" s="553" t="str">
        <f>IF(ISTEXT(Rankings!F1287), "TBD", (RANK($F1287,$F1286:$F1292) + IF(ISTEXT($H1287), 0, (RANK($H1287,$H1286:$H1292)/10)) + (RANK($G1287,$G1286:$G1292)/100)))</f>
        <v>TBD</v>
      </c>
      <c r="W1287" s="153"/>
      <c r="Y1287" s="443"/>
    </row>
    <row r="1288" ht="15.75" customHeight="1">
      <c r="A1288" s="134"/>
      <c r="B1288" s="134"/>
      <c r="C1288" s="134"/>
      <c r="D1288" s="556" t="str">
        <f>D1286</f>
        <v/>
      </c>
      <c r="E1288" s="469" t="str">
        <f>$M$1</f>
        <v>Giacomo</v>
      </c>
      <c r="F1288" s="408" t="str">
        <f>IFERROR(AVERAGE(Rankings!$K1288:$R1288), "TBD")</f>
        <v>TBD</v>
      </c>
      <c r="G1288" s="408" t="str">
        <f>IFERROR(_xlfn.STDEV.P(Rankings!$K1288:$R1288), "TBD")</f>
        <v>TBD</v>
      </c>
      <c r="H1288" s="408" t="str">
        <f>IFERROR(AVERAGE(Rankings!$K1288:$L1288, Rankings!$N1288:$R1288), "TBD")</f>
        <v>TBD</v>
      </c>
      <c r="I1288" s="437"/>
      <c r="J1288" s="437"/>
      <c r="K1288" s="430"/>
      <c r="L1288" s="431"/>
      <c r="M1288" s="431"/>
      <c r="N1288" s="555"/>
      <c r="O1288" s="431"/>
      <c r="P1288" s="431"/>
      <c r="Q1288" s="464"/>
      <c r="R1288" s="465"/>
      <c r="S1288" s="466" t="str">
        <f>IF(ISTEXT($V1288), "TBD", RANK(V1288,$V1286:$V1292))</f>
        <v>TBD</v>
      </c>
      <c r="T1288" s="467">
        <v>1.0</v>
      </c>
      <c r="U1288" s="468" t="b">
        <f>Rankings!$S1288=Rankings!$T1288</f>
        <v>0</v>
      </c>
      <c r="V1288" s="553" t="str">
        <f>IF(ISTEXT(Rankings!F1288), "TBD", (RANK($F1288,$F1286:$F1292) + IF(ISTEXT($H1288), 0, (RANK($H1288,$H1286:$H1292)/10)) + (RANK($G1288,$G1286:$G1292)/100)))</f>
        <v>TBD</v>
      </c>
      <c r="W1288" s="153"/>
      <c r="Y1288" s="443"/>
    </row>
    <row r="1289" ht="15.75" customHeight="1">
      <c r="A1289" s="134"/>
      <c r="B1289" s="134"/>
      <c r="C1289" s="134"/>
      <c r="D1289" s="557" t="str">
        <f>D1286</f>
        <v/>
      </c>
      <c r="E1289" s="470" t="str">
        <f>$N$1</f>
        <v>Rosey</v>
      </c>
      <c r="F1289" s="411" t="str">
        <f>IFERROR(AVERAGE(Rankings!$K1289:$R1289), "TBD")</f>
        <v>TBD</v>
      </c>
      <c r="G1289" s="411" t="str">
        <f>IFERROR(_xlfn.STDEV.P(Rankings!$K1289:$R1289), "TBD")</f>
        <v>TBD</v>
      </c>
      <c r="H1289" s="411" t="str">
        <f>IFERROR(AVERAGE(Rankings!$K1289:$M1289, Rankings!$O1289:$R1289), "TBD")</f>
        <v>TBD</v>
      </c>
      <c r="I1289" s="438"/>
      <c r="J1289" s="438"/>
      <c r="K1289" s="430"/>
      <c r="L1289" s="566"/>
      <c r="M1289" s="431"/>
      <c r="N1289" s="555"/>
      <c r="O1289" s="431" t="s">
        <v>1697</v>
      </c>
      <c r="P1289" s="431" t="s">
        <v>1698</v>
      </c>
      <c r="Q1289" s="464" t="s">
        <v>1766</v>
      </c>
      <c r="R1289" s="465"/>
      <c r="S1289" s="466" t="str">
        <f>IF(ISTEXT($V1289), "TBD", RANK(V1289,$V1286:$V1292))</f>
        <v>TBD</v>
      </c>
      <c r="T1289" s="467">
        <v>1.0</v>
      </c>
      <c r="U1289" s="468" t="b">
        <f>Rankings!$S1289=Rankings!$T1289</f>
        <v>0</v>
      </c>
      <c r="V1289" s="553" t="str">
        <f>IF(ISTEXT(Rankings!F1289), "TBD", (RANK($F1289,$F1286:$F1292) + IF(ISTEXT($H1289), 0, (RANK($H1289,$H1286:$H1292)/10)) + (RANK($G1289,$G1286:$G1292)/100)))</f>
        <v>TBD</v>
      </c>
      <c r="W1289" s="153"/>
      <c r="Y1289" s="443"/>
    </row>
    <row r="1290" ht="15.75" customHeight="1">
      <c r="A1290" s="134"/>
      <c r="B1290" s="134"/>
      <c r="C1290" s="134"/>
      <c r="D1290" s="561" t="str">
        <f t="shared" ref="D1290:D1292" si="185">D1286</f>
        <v/>
      </c>
      <c r="E1290" s="471" t="str">
        <f>$O$1</f>
        <v>TTAC</v>
      </c>
      <c r="F1290" s="414" t="str">
        <f>IFERROR(AVERAGE(Rankings!$K1290:$R1290), "TBD")</f>
        <v>TBD</v>
      </c>
      <c r="G1290" s="414" t="str">
        <f>IFERROR(_xlfn.STDEV.P(Rankings!$K1290:$R1290), "TBD")</f>
        <v>TBD</v>
      </c>
      <c r="H1290" s="414" t="str">
        <f>IFERROR(AVERAGE(Rankings!$K1290:$N1290, Rankings!$P1290:$R1290), "TBD")</f>
        <v>TBD</v>
      </c>
      <c r="I1290" s="439"/>
      <c r="J1290" s="439"/>
      <c r="K1290" s="430"/>
      <c r="L1290" s="431"/>
      <c r="M1290" s="431"/>
      <c r="N1290" s="555"/>
      <c r="O1290" s="431"/>
      <c r="P1290" s="431"/>
      <c r="Q1290" s="464"/>
      <c r="R1290" s="465"/>
      <c r="S1290" s="466" t="str">
        <f>IF(ISTEXT($V1290), "TBD", RANK(V1290,$V1286:$V1292))</f>
        <v>TBD</v>
      </c>
      <c r="T1290" s="467">
        <v>1.0</v>
      </c>
      <c r="U1290" s="468" t="b">
        <f>Rankings!$S1290=Rankings!$T1290</f>
        <v>0</v>
      </c>
      <c r="V1290" s="553" t="str">
        <f>IF(ISTEXT(Rankings!F1290), "TBD", (RANK($F1290,$F1286:$F1292) + IF(ISTEXT($H1290), 0, (RANK($H1290,$H1286:$H1292)/10)) + (RANK($G1290,$G1286:$G1292)/100)))</f>
        <v>TBD</v>
      </c>
      <c r="W1290" s="153"/>
      <c r="Y1290" s="443"/>
    </row>
    <row r="1291" ht="15.75" customHeight="1">
      <c r="A1291" s="134"/>
      <c r="B1291" s="134"/>
      <c r="C1291" s="134"/>
      <c r="D1291" s="562" t="str">
        <f t="shared" si="185"/>
        <v/>
      </c>
      <c r="E1291" s="472" t="str">
        <f>$P$1</f>
        <v>Weston</v>
      </c>
      <c r="F1291" s="418" t="str">
        <f>IFERROR(AVERAGE(Rankings!$K1291:$R1291), "TBD")</f>
        <v>TBD</v>
      </c>
      <c r="G1291" s="418" t="str">
        <f>IFERROR(_xlfn.STDEV.P(Rankings!$K1291:$R1291), "TBD")</f>
        <v>TBD</v>
      </c>
      <c r="H1291" s="418" t="str">
        <f>IFERROR(AVERAGE(Rankings!$K1291:$O1291, Rankings!$Q1291:$R1291), "TBD")</f>
        <v>TBD</v>
      </c>
      <c r="I1291" s="440"/>
      <c r="J1291" s="440"/>
      <c r="K1291" s="430"/>
      <c r="L1291" s="431"/>
      <c r="M1291" s="431"/>
      <c r="N1291" s="555"/>
      <c r="O1291" s="431"/>
      <c r="P1291" s="431"/>
      <c r="Q1291" s="464"/>
      <c r="R1291" s="465"/>
      <c r="S1291" s="466" t="str">
        <f>IF(ISTEXT($V1291), "TBD", RANK(V1291,$V1286:$V1292))</f>
        <v>TBD</v>
      </c>
      <c r="T1291" s="467">
        <v>1.0</v>
      </c>
      <c r="U1291" s="468" t="b">
        <f>Rankings!$S1291=Rankings!$T1291</f>
        <v>0</v>
      </c>
      <c r="V1291" s="553" t="str">
        <f>IF(ISTEXT(Rankings!F1291), "TBD", (RANK($F1291,$F1286:$F1292) + IF(ISTEXT($H1291), 0, (RANK($H1291,$H1286:$H1292)/10)) + (RANK($G1291,$G1286:$G1292)/100)))</f>
        <v>TBD</v>
      </c>
      <c r="W1291" s="153"/>
      <c r="Y1291" s="443"/>
    </row>
    <row r="1292" ht="15.75" customHeight="1">
      <c r="A1292" s="189"/>
      <c r="B1292" s="189"/>
      <c r="C1292" s="189"/>
      <c r="D1292" s="563" t="str">
        <f t="shared" si="185"/>
        <v/>
      </c>
      <c r="E1292" s="230" t="str">
        <f>$Q$1</f>
        <v>Flocco</v>
      </c>
      <c r="F1292" s="474" t="str">
        <f>IFERROR(AVERAGE(Rankings!$K1292:$R1292), "TBD")</f>
        <v>TBD</v>
      </c>
      <c r="G1292" s="474" t="str">
        <f>IFERROR(_xlfn.STDEV.P(Rankings!$K1292:$R1292), "TBD")</f>
        <v>TBD</v>
      </c>
      <c r="H1292" s="474" t="str">
        <f>IFERROR(AVERAGE(Rankings!$K1292:$P1292, Rankings!$R1292), "TBD")</f>
        <v>TBD</v>
      </c>
      <c r="I1292" s="475"/>
      <c r="J1292" s="475"/>
      <c r="K1292" s="430"/>
      <c r="L1292" s="431"/>
      <c r="M1292" s="431"/>
      <c r="N1292" s="555"/>
      <c r="O1292" s="431"/>
      <c r="P1292" s="431"/>
      <c r="Q1292" s="464"/>
      <c r="R1292" s="465"/>
      <c r="S1292" s="466" t="str">
        <f>IF(ISTEXT($V1292), "TBD", RANK(V1292,$V1286:$V1292))</f>
        <v>TBD</v>
      </c>
      <c r="T1292" s="467">
        <v>1.0</v>
      </c>
      <c r="U1292" s="468" t="b">
        <f>Rankings!$S1292=Rankings!$T1292</f>
        <v>0</v>
      </c>
      <c r="V1292" s="553" t="str">
        <f>IF(ISTEXT(Rankings!F1292), "TBD", (RANK($F1292,$F1286:$F1292) + IF(ISTEXT($H1292), 0, (RANK($H1292,$H1286:$H1292)/10)) + (RANK($G1292,$G1286:$G1292)/100)))</f>
        <v>TBD</v>
      </c>
      <c r="W1292" s="208"/>
      <c r="Y1292" s="443"/>
    </row>
    <row r="1293" ht="15.75" customHeight="1">
      <c r="A1293" s="103"/>
      <c r="B1293" s="453"/>
      <c r="C1293" s="454" t="str">
        <f t="array" ref="C1293">INDEX(Rankings!$E1293:$E1299, MATCH(1, (Rankings!$D1293:$D1299=$A1293)*(Rankings!$U1293:$U1299=TRUE()), 0))</f>
        <v>#N/A</v>
      </c>
      <c r="D1293" s="551" t="str">
        <f>A1293</f>
        <v/>
      </c>
      <c r="E1293" s="455" t="str">
        <f>$K$1</f>
        <v>Logan</v>
      </c>
      <c r="F1293" s="400" t="str">
        <f>IFERROR(AVERAGE(Rankings!$K1293:$R1293), "TBD")</f>
        <v>TBD</v>
      </c>
      <c r="G1293" s="400" t="str">
        <f>IFERROR(_xlfn.STDEV.P(Rankings!$K1293:$R1293), "TBD")</f>
        <v>TBD</v>
      </c>
      <c r="H1293" s="400" t="str">
        <f>IFERROR(AVERAGE(Rankings!$L1293:$R1293), "TBD")</f>
        <v>TBD</v>
      </c>
      <c r="I1293" s="421"/>
      <c r="J1293" s="421"/>
      <c r="K1293" s="422"/>
      <c r="L1293" s="423"/>
      <c r="M1293" s="423"/>
      <c r="N1293" s="555"/>
      <c r="O1293" s="423"/>
      <c r="P1293" s="423"/>
      <c r="Q1293" s="456"/>
      <c r="R1293" s="457"/>
      <c r="S1293" s="458" t="str">
        <f>IF(ISTEXT($V1293), "TBD", RANK(V1293,$V1293:$V1299))</f>
        <v>TBD</v>
      </c>
      <c r="T1293" s="576">
        <v>1.0</v>
      </c>
      <c r="U1293" s="460" t="b">
        <f>Rankings!$S1293=Rankings!$T1293</f>
        <v>0</v>
      </c>
      <c r="V1293" s="553" t="str">
        <f>IF(ISTEXT(Rankings!F1293), "TBD", (RANK($F1293,$F1293:$F1299) + IF(ISTEXT($H1293), 0, (RANK($H1293,$H1293:$H1299)/10)) + (RANK($G1293,$G1293:$G1299)/100)))</f>
        <v>TBD</v>
      </c>
      <c r="W1293" s="329"/>
      <c r="Y1293" s="443"/>
    </row>
    <row r="1294" ht="15.75" customHeight="1">
      <c r="A1294" s="134"/>
      <c r="B1294" s="134"/>
      <c r="C1294" s="134"/>
      <c r="D1294" s="554" t="str">
        <f>D1293</f>
        <v/>
      </c>
      <c r="E1294" s="463" t="str">
        <f>$L$1</f>
        <v>Parker</v>
      </c>
      <c r="F1294" s="404" t="str">
        <f>IFERROR(AVERAGE(Rankings!$K1294:$R1294), "TBD")</f>
        <v>TBD</v>
      </c>
      <c r="G1294" s="404" t="str">
        <f>IFERROR(_xlfn.STDEV.P(Rankings!$K1294:$R1294), "TBD")</f>
        <v>TBD</v>
      </c>
      <c r="H1294" s="404" t="str">
        <f>IFERROR(AVERAGE(Rankings!$K1294, Rankings!$M1294:$R1294), "TBD")</f>
        <v>TBD</v>
      </c>
      <c r="I1294" s="429"/>
      <c r="J1294" s="429"/>
      <c r="K1294" s="430"/>
      <c r="L1294" s="431"/>
      <c r="M1294" s="431"/>
      <c r="N1294" s="555"/>
      <c r="O1294" s="431"/>
      <c r="P1294" s="431"/>
      <c r="Q1294" s="464"/>
      <c r="R1294" s="465"/>
      <c r="S1294" s="466" t="str">
        <f>IF(ISTEXT($V1294), "TBD", RANK(V1294,$V1293:$V1299))</f>
        <v>TBD</v>
      </c>
      <c r="T1294" s="444">
        <v>1.0</v>
      </c>
      <c r="U1294" s="468" t="b">
        <f>Rankings!$S1294=Rankings!$T1294</f>
        <v>0</v>
      </c>
      <c r="V1294" s="553" t="str">
        <f>IF(ISTEXT(Rankings!F1294), "TBD", (RANK($F1294,$F1293:$F1299) + IF(ISTEXT($H1294), 0, (RANK($H1294,$H1293:$H1299)/10)) + (RANK($G1294,$G1293:$G1299)/100)))</f>
        <v>TBD</v>
      </c>
      <c r="W1294" s="153"/>
      <c r="Y1294" s="443"/>
    </row>
    <row r="1295" ht="15.75" customHeight="1">
      <c r="A1295" s="134"/>
      <c r="B1295" s="134"/>
      <c r="C1295" s="134"/>
      <c r="D1295" s="556" t="str">
        <f>D1293</f>
        <v/>
      </c>
      <c r="E1295" s="469" t="str">
        <f>$M$1</f>
        <v>Giacomo</v>
      </c>
      <c r="F1295" s="408" t="str">
        <f>IFERROR(AVERAGE(Rankings!$K1295:$R1295), "TBD")</f>
        <v>TBD</v>
      </c>
      <c r="G1295" s="408" t="str">
        <f>IFERROR(_xlfn.STDEV.P(Rankings!$K1295:$R1295), "TBD")</f>
        <v>TBD</v>
      </c>
      <c r="H1295" s="408" t="str">
        <f>IFERROR(AVERAGE(Rankings!$K1295:$L1295, Rankings!$N1295:$R1295), "TBD")</f>
        <v>TBD</v>
      </c>
      <c r="I1295" s="437"/>
      <c r="J1295" s="437"/>
      <c r="K1295" s="430"/>
      <c r="L1295" s="431"/>
      <c r="M1295" s="431"/>
      <c r="N1295" s="555"/>
      <c r="O1295" s="431"/>
      <c r="P1295" s="431"/>
      <c r="Q1295" s="464"/>
      <c r="R1295" s="465"/>
      <c r="S1295" s="466" t="str">
        <f>IF(ISTEXT($V1295), "TBD", RANK(V1295,$V1293:$V1299))</f>
        <v>TBD</v>
      </c>
      <c r="T1295" s="467">
        <v>1.0</v>
      </c>
      <c r="U1295" s="468" t="b">
        <f>Rankings!$S1295=Rankings!$T1295</f>
        <v>0</v>
      </c>
      <c r="V1295" s="553" t="str">
        <f>IF(ISTEXT(Rankings!F1295), "TBD", (RANK($F1295,$F1293:$F1299) + IF(ISTEXT($H1295), 0, (RANK($H1295,$H1293:$H1299)/10)) + (RANK($G1295,$G1293:$G1299)/100)))</f>
        <v>TBD</v>
      </c>
      <c r="W1295" s="153"/>
      <c r="Y1295" s="443"/>
    </row>
    <row r="1296" ht="15.75" customHeight="1">
      <c r="A1296" s="134"/>
      <c r="B1296" s="134"/>
      <c r="C1296" s="134"/>
      <c r="D1296" s="557" t="str">
        <f>D1293</f>
        <v/>
      </c>
      <c r="E1296" s="470" t="str">
        <f>$N$1</f>
        <v>Rosey</v>
      </c>
      <c r="F1296" s="411" t="str">
        <f>IFERROR(AVERAGE(Rankings!$K1296:$R1296), "TBD")</f>
        <v>TBD</v>
      </c>
      <c r="G1296" s="411" t="str">
        <f>IFERROR(_xlfn.STDEV.P(Rankings!$K1296:$R1296), "TBD")</f>
        <v>TBD</v>
      </c>
      <c r="H1296" s="411" t="str">
        <f>IFERROR(AVERAGE(Rankings!$K1296:$M1296, Rankings!$O1296:$R1296), "TBD")</f>
        <v>TBD</v>
      </c>
      <c r="I1296" s="438"/>
      <c r="J1296" s="438"/>
      <c r="K1296" s="430"/>
      <c r="L1296" s="566"/>
      <c r="M1296" s="431"/>
      <c r="N1296" s="555"/>
      <c r="O1296" s="431" t="s">
        <v>1697</v>
      </c>
      <c r="P1296" s="431" t="s">
        <v>1698</v>
      </c>
      <c r="Q1296" s="464" t="s">
        <v>1766</v>
      </c>
      <c r="R1296" s="465"/>
      <c r="S1296" s="466" t="str">
        <f>IF(ISTEXT($V1296), "TBD", RANK(V1296,$V1293:$V1299))</f>
        <v>TBD</v>
      </c>
      <c r="T1296" s="467">
        <v>1.0</v>
      </c>
      <c r="U1296" s="468" t="b">
        <f>Rankings!$S1296=Rankings!$T1296</f>
        <v>0</v>
      </c>
      <c r="V1296" s="553" t="str">
        <f>IF(ISTEXT(Rankings!F1296), "TBD", (RANK($F1296,$F1293:$F1299) + IF(ISTEXT($H1296), 0, (RANK($H1296,$H1293:$H1299)/10)) + (RANK($G1296,$G1293:$G1299)/100)))</f>
        <v>TBD</v>
      </c>
      <c r="W1296" s="153"/>
      <c r="Y1296" s="443"/>
    </row>
    <row r="1297" ht="15.75" customHeight="1">
      <c r="A1297" s="134"/>
      <c r="B1297" s="134"/>
      <c r="C1297" s="134"/>
      <c r="D1297" s="561" t="str">
        <f t="shared" ref="D1297:D1299" si="186">D1293</f>
        <v/>
      </c>
      <c r="E1297" s="471" t="str">
        <f>$O$1</f>
        <v>TTAC</v>
      </c>
      <c r="F1297" s="414" t="str">
        <f>IFERROR(AVERAGE(Rankings!$K1297:$R1297), "TBD")</f>
        <v>TBD</v>
      </c>
      <c r="G1297" s="414" t="str">
        <f>IFERROR(_xlfn.STDEV.P(Rankings!$K1297:$R1297), "TBD")</f>
        <v>TBD</v>
      </c>
      <c r="H1297" s="414" t="str">
        <f>IFERROR(AVERAGE(Rankings!$K1297:$N1297, Rankings!$P1297:$R1297), "TBD")</f>
        <v>TBD</v>
      </c>
      <c r="I1297" s="439"/>
      <c r="J1297" s="439"/>
      <c r="K1297" s="430"/>
      <c r="L1297" s="431"/>
      <c r="M1297" s="431"/>
      <c r="N1297" s="555"/>
      <c r="O1297" s="431"/>
      <c r="P1297" s="431"/>
      <c r="Q1297" s="464"/>
      <c r="R1297" s="465"/>
      <c r="S1297" s="466" t="str">
        <f>IF(ISTEXT($V1297), "TBD", RANK(V1297,$V1293:$V1299))</f>
        <v>TBD</v>
      </c>
      <c r="T1297" s="467">
        <v>1.0</v>
      </c>
      <c r="U1297" s="468" t="b">
        <f>Rankings!$S1297=Rankings!$T1297</f>
        <v>0</v>
      </c>
      <c r="V1297" s="553" t="str">
        <f>IF(ISTEXT(Rankings!F1297), "TBD", (RANK($F1297,$F1293:$F1299) + IF(ISTEXT($H1297), 0, (RANK($H1297,$H1293:$H1299)/10)) + (RANK($G1297,$G1293:$G1299)/100)))</f>
        <v>TBD</v>
      </c>
      <c r="W1297" s="153"/>
      <c r="Y1297" s="443"/>
    </row>
    <row r="1298" ht="15.75" customHeight="1">
      <c r="A1298" s="134"/>
      <c r="B1298" s="134"/>
      <c r="C1298" s="134"/>
      <c r="D1298" s="562" t="str">
        <f t="shared" si="186"/>
        <v/>
      </c>
      <c r="E1298" s="472" t="str">
        <f>$P$1</f>
        <v>Weston</v>
      </c>
      <c r="F1298" s="418" t="str">
        <f>IFERROR(AVERAGE(Rankings!$K1298:$R1298), "TBD")</f>
        <v>TBD</v>
      </c>
      <c r="G1298" s="418" t="str">
        <f>IFERROR(_xlfn.STDEV.P(Rankings!$K1298:$R1298), "TBD")</f>
        <v>TBD</v>
      </c>
      <c r="H1298" s="418" t="str">
        <f>IFERROR(AVERAGE(Rankings!$K1298:$O1298, Rankings!$Q1298:$R1298), "TBD")</f>
        <v>TBD</v>
      </c>
      <c r="I1298" s="440"/>
      <c r="J1298" s="440"/>
      <c r="K1298" s="430"/>
      <c r="L1298" s="431"/>
      <c r="M1298" s="431"/>
      <c r="N1298" s="555"/>
      <c r="O1298" s="431"/>
      <c r="P1298" s="431"/>
      <c r="Q1298" s="464"/>
      <c r="R1298" s="465"/>
      <c r="S1298" s="466" t="str">
        <f>IF(ISTEXT($V1298), "TBD", RANK(V1298,$V1293:$V1299))</f>
        <v>TBD</v>
      </c>
      <c r="T1298" s="467">
        <v>1.0</v>
      </c>
      <c r="U1298" s="468" t="b">
        <f>Rankings!$S1298=Rankings!$T1298</f>
        <v>0</v>
      </c>
      <c r="V1298" s="553" t="str">
        <f>IF(ISTEXT(Rankings!F1298), "TBD", (RANK($F1298,$F1293:$F1299) + IF(ISTEXT($H1298), 0, (RANK($H1298,$H1293:$H1299)/10)) + (RANK($G1298,$G1293:$G1299)/100)))</f>
        <v>TBD</v>
      </c>
      <c r="W1298" s="153"/>
      <c r="Y1298" s="443"/>
    </row>
    <row r="1299" ht="15.75" customHeight="1">
      <c r="A1299" s="189"/>
      <c r="B1299" s="189"/>
      <c r="C1299" s="189"/>
      <c r="D1299" s="563" t="str">
        <f t="shared" si="186"/>
        <v/>
      </c>
      <c r="E1299" s="230" t="str">
        <f>$Q$1</f>
        <v>Flocco</v>
      </c>
      <c r="F1299" s="474" t="str">
        <f>IFERROR(AVERAGE(Rankings!$K1299:$R1299), "TBD")</f>
        <v>TBD</v>
      </c>
      <c r="G1299" s="474" t="str">
        <f>IFERROR(_xlfn.STDEV.P(Rankings!$K1299:$R1299), "TBD")</f>
        <v>TBD</v>
      </c>
      <c r="H1299" s="474" t="str">
        <f>IFERROR(AVERAGE(Rankings!$K1299:$P1299, Rankings!$R1299), "TBD")</f>
        <v>TBD</v>
      </c>
      <c r="I1299" s="475"/>
      <c r="J1299" s="475"/>
      <c r="K1299" s="430"/>
      <c r="L1299" s="431"/>
      <c r="M1299" s="431"/>
      <c r="N1299" s="555"/>
      <c r="O1299" s="431"/>
      <c r="P1299" s="431"/>
      <c r="Q1299" s="464"/>
      <c r="R1299" s="465"/>
      <c r="S1299" s="466" t="str">
        <f>IF(ISTEXT($V1299), "TBD", RANK(V1299,$V1293:$V1299))</f>
        <v>TBD</v>
      </c>
      <c r="T1299" s="467">
        <v>1.0</v>
      </c>
      <c r="U1299" s="468" t="b">
        <f>Rankings!$S1299=Rankings!$T1299</f>
        <v>0</v>
      </c>
      <c r="V1299" s="553" t="str">
        <f>IF(ISTEXT(Rankings!F1299), "TBD", (RANK($F1299,$F1293:$F1299) + IF(ISTEXT($H1299), 0, (RANK($H1299,$H1293:$H1299)/10)) + (RANK($G1299,$G1293:$G1299)/100)))</f>
        <v>TBD</v>
      </c>
      <c r="W1299" s="208"/>
      <c r="Y1299" s="443"/>
    </row>
    <row r="1300" ht="15.75" customHeight="1">
      <c r="A1300" s="103"/>
      <c r="B1300" s="453"/>
      <c r="C1300" s="454" t="str">
        <f t="array" ref="C1300">INDEX(Rankings!$E1300:$E1306, MATCH(1, (Rankings!$D1300:$D1306=$A1300)*(Rankings!$U1300:$U1306=TRUE()), 0))</f>
        <v>#N/A</v>
      </c>
      <c r="D1300" s="551" t="str">
        <f>A1300</f>
        <v/>
      </c>
      <c r="E1300" s="455" t="str">
        <f>$K$1</f>
        <v>Logan</v>
      </c>
      <c r="F1300" s="400" t="str">
        <f>IFERROR(AVERAGE(Rankings!$K1300:$R1300), "TBD")</f>
        <v>TBD</v>
      </c>
      <c r="G1300" s="400" t="str">
        <f>IFERROR(_xlfn.STDEV.P(Rankings!$K1300:$R1300), "TBD")</f>
        <v>TBD</v>
      </c>
      <c r="H1300" s="400" t="str">
        <f>IFERROR(AVERAGE(Rankings!$L1300:$R1300), "TBD")</f>
        <v>TBD</v>
      </c>
      <c r="I1300" s="421"/>
      <c r="J1300" s="421"/>
      <c r="K1300" s="422"/>
      <c r="L1300" s="423"/>
      <c r="M1300" s="423"/>
      <c r="N1300" s="555"/>
      <c r="O1300" s="423"/>
      <c r="P1300" s="423"/>
      <c r="Q1300" s="456"/>
      <c r="R1300" s="457"/>
      <c r="S1300" s="458" t="str">
        <f>IF(ISTEXT($V1300), "TBD", RANK(V1300,$V1300:$V1306))</f>
        <v>TBD</v>
      </c>
      <c r="T1300" s="576">
        <v>1.0</v>
      </c>
      <c r="U1300" s="460" t="b">
        <f>Rankings!$S1300=Rankings!$T1300</f>
        <v>0</v>
      </c>
      <c r="V1300" s="553" t="str">
        <f>IF(ISTEXT(Rankings!F1300), "TBD", (RANK($F1300,$F1300:$F1306) + IF(ISTEXT($H1300), 0, (RANK($H1300,$H1300:$H1306)/10)) + (RANK($G1300,$G1300:$G1306)/100)))</f>
        <v>TBD</v>
      </c>
      <c r="W1300" s="329"/>
      <c r="Y1300" s="443"/>
    </row>
    <row r="1301" ht="15.75" customHeight="1">
      <c r="A1301" s="134"/>
      <c r="B1301" s="134"/>
      <c r="C1301" s="134"/>
      <c r="D1301" s="554" t="str">
        <f>D1300</f>
        <v/>
      </c>
      <c r="E1301" s="463" t="str">
        <f>$L$1</f>
        <v>Parker</v>
      </c>
      <c r="F1301" s="404" t="str">
        <f>IFERROR(AVERAGE(Rankings!$K1301:$R1301), "TBD")</f>
        <v>TBD</v>
      </c>
      <c r="G1301" s="404" t="str">
        <f>IFERROR(_xlfn.STDEV.P(Rankings!$K1301:$R1301), "TBD")</f>
        <v>TBD</v>
      </c>
      <c r="H1301" s="404" t="str">
        <f>IFERROR(AVERAGE(Rankings!$K1301, Rankings!$M1301:$R1301), "TBD")</f>
        <v>TBD</v>
      </c>
      <c r="I1301" s="429"/>
      <c r="J1301" s="429"/>
      <c r="K1301" s="430"/>
      <c r="L1301" s="431"/>
      <c r="M1301" s="431"/>
      <c r="N1301" s="555"/>
      <c r="O1301" s="431"/>
      <c r="P1301" s="431"/>
      <c r="Q1301" s="464"/>
      <c r="R1301" s="465"/>
      <c r="S1301" s="466" t="str">
        <f>IF(ISTEXT($V1301), "TBD", RANK(V1301,$V1300:$V1306))</f>
        <v>TBD</v>
      </c>
      <c r="T1301" s="444">
        <v>1.0</v>
      </c>
      <c r="U1301" s="468" t="b">
        <f>Rankings!$S1301=Rankings!$T1301</f>
        <v>0</v>
      </c>
      <c r="V1301" s="553" t="str">
        <f>IF(ISTEXT(Rankings!F1301), "TBD", (RANK($F1301,$F1300:$F1306) + IF(ISTEXT($H1301), 0, (RANK($H1301,$H1300:$H1306)/10)) + (RANK($G1301,$G1300:$G1306)/100)))</f>
        <v>TBD</v>
      </c>
      <c r="W1301" s="153"/>
      <c r="Y1301" s="443"/>
    </row>
    <row r="1302" ht="15.75" customHeight="1">
      <c r="A1302" s="134"/>
      <c r="B1302" s="134"/>
      <c r="C1302" s="134"/>
      <c r="D1302" s="556" t="str">
        <f>D1300</f>
        <v/>
      </c>
      <c r="E1302" s="469" t="str">
        <f>$M$1</f>
        <v>Giacomo</v>
      </c>
      <c r="F1302" s="408" t="str">
        <f>IFERROR(AVERAGE(Rankings!$K1302:$R1302), "TBD")</f>
        <v>TBD</v>
      </c>
      <c r="G1302" s="408" t="str">
        <f>IFERROR(_xlfn.STDEV.P(Rankings!$K1302:$R1302), "TBD")</f>
        <v>TBD</v>
      </c>
      <c r="H1302" s="408" t="str">
        <f>IFERROR(AVERAGE(Rankings!$K1302:$L1302, Rankings!$N1302:$R1302), "TBD")</f>
        <v>TBD</v>
      </c>
      <c r="I1302" s="437"/>
      <c r="J1302" s="437"/>
      <c r="K1302" s="430"/>
      <c r="L1302" s="431"/>
      <c r="M1302" s="431"/>
      <c r="N1302" s="555"/>
      <c r="O1302" s="431"/>
      <c r="P1302" s="431"/>
      <c r="Q1302" s="464"/>
      <c r="R1302" s="465"/>
      <c r="S1302" s="466" t="str">
        <f>IF(ISTEXT($V1302), "TBD", RANK(V1302,$V1300:$V1306))</f>
        <v>TBD</v>
      </c>
      <c r="T1302" s="467">
        <v>1.0</v>
      </c>
      <c r="U1302" s="468" t="b">
        <f>Rankings!$S1302=Rankings!$T1302</f>
        <v>0</v>
      </c>
      <c r="V1302" s="553" t="str">
        <f>IF(ISTEXT(Rankings!F1302), "TBD", (RANK($F1302,$F1300:$F1306) + IF(ISTEXT($H1302), 0, (RANK($H1302,$H1300:$H1306)/10)) + (RANK($G1302,$G1300:$G1306)/100)))</f>
        <v>TBD</v>
      </c>
      <c r="W1302" s="153"/>
      <c r="Y1302" s="443"/>
    </row>
    <row r="1303" ht="15.75" customHeight="1">
      <c r="A1303" s="134"/>
      <c r="B1303" s="134"/>
      <c r="C1303" s="134"/>
      <c r="D1303" s="557" t="str">
        <f>D1300</f>
        <v/>
      </c>
      <c r="E1303" s="470" t="str">
        <f>$N$1</f>
        <v>Rosey</v>
      </c>
      <c r="F1303" s="411" t="str">
        <f>IFERROR(AVERAGE(Rankings!$K1303:$R1303), "TBD")</f>
        <v>TBD</v>
      </c>
      <c r="G1303" s="411" t="str">
        <f>IFERROR(_xlfn.STDEV.P(Rankings!$K1303:$R1303), "TBD")</f>
        <v>TBD</v>
      </c>
      <c r="H1303" s="411" t="str">
        <f>IFERROR(AVERAGE(Rankings!$K1303:$M1303, Rankings!$O1303:$R1303), "TBD")</f>
        <v>TBD</v>
      </c>
      <c r="I1303" s="438"/>
      <c r="J1303" s="438"/>
      <c r="K1303" s="430"/>
      <c r="L1303" s="566"/>
      <c r="M1303" s="431"/>
      <c r="N1303" s="555"/>
      <c r="O1303" s="431" t="s">
        <v>1697</v>
      </c>
      <c r="P1303" s="431" t="s">
        <v>1698</v>
      </c>
      <c r="Q1303" s="464" t="s">
        <v>1766</v>
      </c>
      <c r="R1303" s="465"/>
      <c r="S1303" s="466" t="str">
        <f>IF(ISTEXT($V1303), "TBD", RANK(V1303,$V1300:$V1306))</f>
        <v>TBD</v>
      </c>
      <c r="T1303" s="467">
        <v>1.0</v>
      </c>
      <c r="U1303" s="468" t="b">
        <f>Rankings!$S1303=Rankings!$T1303</f>
        <v>0</v>
      </c>
      <c r="V1303" s="553" t="str">
        <f>IF(ISTEXT(Rankings!F1303), "TBD", (RANK($F1303,$F1300:$F1306) + IF(ISTEXT($H1303), 0, (RANK($H1303,$H1300:$H1306)/10)) + (RANK($G1303,$G1300:$G1306)/100)))</f>
        <v>TBD</v>
      </c>
      <c r="W1303" s="153"/>
      <c r="Y1303" s="443"/>
    </row>
    <row r="1304" ht="15.75" customHeight="1">
      <c r="A1304" s="134"/>
      <c r="B1304" s="134"/>
      <c r="C1304" s="134"/>
      <c r="D1304" s="561" t="str">
        <f t="shared" ref="D1304:D1306" si="187">D1300</f>
        <v/>
      </c>
      <c r="E1304" s="471" t="str">
        <f>$O$1</f>
        <v>TTAC</v>
      </c>
      <c r="F1304" s="414" t="str">
        <f>IFERROR(AVERAGE(Rankings!$K1304:$R1304), "TBD")</f>
        <v>TBD</v>
      </c>
      <c r="G1304" s="414" t="str">
        <f>IFERROR(_xlfn.STDEV.P(Rankings!$K1304:$R1304), "TBD")</f>
        <v>TBD</v>
      </c>
      <c r="H1304" s="414" t="str">
        <f>IFERROR(AVERAGE(Rankings!$K1304:$N1304, Rankings!$P1304:$R1304), "TBD")</f>
        <v>TBD</v>
      </c>
      <c r="I1304" s="439"/>
      <c r="J1304" s="439"/>
      <c r="K1304" s="430"/>
      <c r="L1304" s="431"/>
      <c r="M1304" s="431"/>
      <c r="N1304" s="555"/>
      <c r="O1304" s="431"/>
      <c r="P1304" s="431"/>
      <c r="Q1304" s="464"/>
      <c r="R1304" s="465"/>
      <c r="S1304" s="466" t="str">
        <f>IF(ISTEXT($V1304), "TBD", RANK(V1304,$V1300:$V1306))</f>
        <v>TBD</v>
      </c>
      <c r="T1304" s="467">
        <v>1.0</v>
      </c>
      <c r="U1304" s="468" t="b">
        <f>Rankings!$S1304=Rankings!$T1304</f>
        <v>0</v>
      </c>
      <c r="V1304" s="553" t="str">
        <f>IF(ISTEXT(Rankings!F1304), "TBD", (RANK($F1304,$F1300:$F1306) + IF(ISTEXT($H1304), 0, (RANK($H1304,$H1300:$H1306)/10)) + (RANK($G1304,$G1300:$G1306)/100)))</f>
        <v>TBD</v>
      </c>
      <c r="W1304" s="153"/>
      <c r="Y1304" s="443"/>
    </row>
    <row r="1305" ht="15.75" customHeight="1">
      <c r="A1305" s="134"/>
      <c r="B1305" s="134"/>
      <c r="C1305" s="134"/>
      <c r="D1305" s="562" t="str">
        <f t="shared" si="187"/>
        <v/>
      </c>
      <c r="E1305" s="472" t="str">
        <f>$P$1</f>
        <v>Weston</v>
      </c>
      <c r="F1305" s="418" t="str">
        <f>IFERROR(AVERAGE(Rankings!$K1305:$R1305), "TBD")</f>
        <v>TBD</v>
      </c>
      <c r="G1305" s="418" t="str">
        <f>IFERROR(_xlfn.STDEV.P(Rankings!$K1305:$R1305), "TBD")</f>
        <v>TBD</v>
      </c>
      <c r="H1305" s="418" t="str">
        <f>IFERROR(AVERAGE(Rankings!$K1305:$O1305, Rankings!$Q1305:$R1305), "TBD")</f>
        <v>TBD</v>
      </c>
      <c r="I1305" s="440"/>
      <c r="J1305" s="440"/>
      <c r="K1305" s="430"/>
      <c r="L1305" s="431"/>
      <c r="M1305" s="431"/>
      <c r="N1305" s="555"/>
      <c r="O1305" s="431"/>
      <c r="P1305" s="431"/>
      <c r="Q1305" s="464"/>
      <c r="R1305" s="465"/>
      <c r="S1305" s="466" t="str">
        <f>IF(ISTEXT($V1305), "TBD", RANK(V1305,$V1300:$V1306))</f>
        <v>TBD</v>
      </c>
      <c r="T1305" s="467">
        <v>1.0</v>
      </c>
      <c r="U1305" s="468" t="b">
        <f>Rankings!$S1305=Rankings!$T1305</f>
        <v>0</v>
      </c>
      <c r="V1305" s="553" t="str">
        <f>IF(ISTEXT(Rankings!F1305), "TBD", (RANK($F1305,$F1300:$F1306) + IF(ISTEXT($H1305), 0, (RANK($H1305,$H1300:$H1306)/10)) + (RANK($G1305,$G1300:$G1306)/100)))</f>
        <v>TBD</v>
      </c>
      <c r="W1305" s="153"/>
      <c r="Y1305" s="443"/>
    </row>
    <row r="1306" ht="15.75" customHeight="1">
      <c r="A1306" s="189"/>
      <c r="B1306" s="189"/>
      <c r="C1306" s="189"/>
      <c r="D1306" s="563" t="str">
        <f t="shared" si="187"/>
        <v/>
      </c>
      <c r="E1306" s="230" t="str">
        <f>$Q$1</f>
        <v>Flocco</v>
      </c>
      <c r="F1306" s="474" t="str">
        <f>IFERROR(AVERAGE(Rankings!$K1306:$R1306), "TBD")</f>
        <v>TBD</v>
      </c>
      <c r="G1306" s="474" t="str">
        <f>IFERROR(_xlfn.STDEV.P(Rankings!$K1306:$R1306), "TBD")</f>
        <v>TBD</v>
      </c>
      <c r="H1306" s="474" t="str">
        <f>IFERROR(AVERAGE(Rankings!$K1306:$P1306, Rankings!$R1306), "TBD")</f>
        <v>TBD</v>
      </c>
      <c r="I1306" s="475"/>
      <c r="J1306" s="475"/>
      <c r="K1306" s="430"/>
      <c r="L1306" s="431"/>
      <c r="M1306" s="431"/>
      <c r="N1306" s="555"/>
      <c r="O1306" s="431"/>
      <c r="P1306" s="431"/>
      <c r="Q1306" s="464"/>
      <c r="R1306" s="465"/>
      <c r="S1306" s="466" t="str">
        <f>IF(ISTEXT($V1306), "TBD", RANK(V1306,$V1300:$V1306))</f>
        <v>TBD</v>
      </c>
      <c r="T1306" s="467">
        <v>1.0</v>
      </c>
      <c r="U1306" s="468" t="b">
        <f>Rankings!$S1306=Rankings!$T1306</f>
        <v>0</v>
      </c>
      <c r="V1306" s="553" t="str">
        <f>IF(ISTEXT(Rankings!F1306), "TBD", (RANK($F1306,$F1300:$F1306) + IF(ISTEXT($H1306), 0, (RANK($H1306,$H1300:$H1306)/10)) + (RANK($G1306,$G1300:$G1306)/100)))</f>
        <v>TBD</v>
      </c>
      <c r="W1306" s="208"/>
      <c r="Y1306" s="443"/>
    </row>
    <row r="1307" ht="15.75" customHeight="1">
      <c r="A1307" s="103"/>
      <c r="B1307" s="453"/>
      <c r="C1307" s="454" t="str">
        <f t="array" ref="C1307">INDEX(Rankings!$E1307:$E1313, MATCH(1, (Rankings!$D1307:$D1313=$A1307)*(Rankings!$U1307:$U1313=TRUE()), 0))</f>
        <v>#N/A</v>
      </c>
      <c r="D1307" s="551" t="str">
        <f>A1307</f>
        <v/>
      </c>
      <c r="E1307" s="455" t="str">
        <f>$K$1</f>
        <v>Logan</v>
      </c>
      <c r="F1307" s="400" t="str">
        <f>IFERROR(AVERAGE(Rankings!$K1307:$R1307), "TBD")</f>
        <v>TBD</v>
      </c>
      <c r="G1307" s="400" t="str">
        <f>IFERROR(_xlfn.STDEV.P(Rankings!$K1307:$R1307), "TBD")</f>
        <v>TBD</v>
      </c>
      <c r="H1307" s="400" t="str">
        <f>IFERROR(AVERAGE(Rankings!$L1307:$R1307), "TBD")</f>
        <v>TBD</v>
      </c>
      <c r="I1307" s="421"/>
      <c r="J1307" s="421"/>
      <c r="K1307" s="422"/>
      <c r="L1307" s="423"/>
      <c r="M1307" s="423"/>
      <c r="N1307" s="555"/>
      <c r="O1307" s="423"/>
      <c r="P1307" s="423"/>
      <c r="Q1307" s="456"/>
      <c r="R1307" s="457"/>
      <c r="S1307" s="458" t="str">
        <f>IF(ISTEXT($V1307), "TBD", RANK(V1307,$V1307:$V1313))</f>
        <v>TBD</v>
      </c>
      <c r="T1307" s="576">
        <v>1.0</v>
      </c>
      <c r="U1307" s="460" t="b">
        <f>Rankings!$S1307=Rankings!$T1307</f>
        <v>0</v>
      </c>
      <c r="V1307" s="553" t="str">
        <f>IF(ISTEXT(Rankings!F1307), "TBD", (RANK($F1307,$F1307:$F1313) + IF(ISTEXT($H1307), 0, (RANK($H1307,$H1307:$H1313)/10)) + (RANK($G1307,$G1307:$G1313)/100)))</f>
        <v>TBD</v>
      </c>
      <c r="W1307" s="329"/>
      <c r="Y1307" s="443"/>
    </row>
    <row r="1308" ht="15.75" customHeight="1">
      <c r="A1308" s="134"/>
      <c r="B1308" s="134"/>
      <c r="C1308" s="134"/>
      <c r="D1308" s="554" t="str">
        <f>D1307</f>
        <v/>
      </c>
      <c r="E1308" s="463" t="str">
        <f>$L$1</f>
        <v>Parker</v>
      </c>
      <c r="F1308" s="404" t="str">
        <f>IFERROR(AVERAGE(Rankings!$K1308:$R1308), "TBD")</f>
        <v>TBD</v>
      </c>
      <c r="G1308" s="404" t="str">
        <f>IFERROR(_xlfn.STDEV.P(Rankings!$K1308:$R1308), "TBD")</f>
        <v>TBD</v>
      </c>
      <c r="H1308" s="404" t="str">
        <f>IFERROR(AVERAGE(Rankings!$K1308, Rankings!$M1308:$R1308), "TBD")</f>
        <v>TBD</v>
      </c>
      <c r="I1308" s="429"/>
      <c r="J1308" s="429"/>
      <c r="K1308" s="430"/>
      <c r="L1308" s="431"/>
      <c r="M1308" s="431"/>
      <c r="N1308" s="555"/>
      <c r="O1308" s="431"/>
      <c r="P1308" s="431"/>
      <c r="Q1308" s="464"/>
      <c r="R1308" s="465"/>
      <c r="S1308" s="466" t="str">
        <f>IF(ISTEXT($V1308), "TBD", RANK(V1308,$V1307:$V1313))</f>
        <v>TBD</v>
      </c>
      <c r="T1308" s="444">
        <v>1.0</v>
      </c>
      <c r="U1308" s="468" t="b">
        <f>Rankings!$S1308=Rankings!$T1308</f>
        <v>0</v>
      </c>
      <c r="V1308" s="553" t="str">
        <f>IF(ISTEXT(Rankings!F1308), "TBD", (RANK($F1308,$F1307:$F1313) + IF(ISTEXT($H1308), 0, (RANK($H1308,$H1307:$H1313)/10)) + (RANK($G1308,$G1307:$G1313)/100)))</f>
        <v>TBD</v>
      </c>
      <c r="W1308" s="153"/>
      <c r="Y1308" s="443"/>
    </row>
    <row r="1309" ht="15.75" customHeight="1">
      <c r="A1309" s="134"/>
      <c r="B1309" s="134"/>
      <c r="C1309" s="134"/>
      <c r="D1309" s="556" t="str">
        <f>D1307</f>
        <v/>
      </c>
      <c r="E1309" s="469" t="str">
        <f>$M$1</f>
        <v>Giacomo</v>
      </c>
      <c r="F1309" s="408" t="str">
        <f>IFERROR(AVERAGE(Rankings!$K1309:$R1309), "TBD")</f>
        <v>TBD</v>
      </c>
      <c r="G1309" s="408" t="str">
        <f>IFERROR(_xlfn.STDEV.P(Rankings!$K1309:$R1309), "TBD")</f>
        <v>TBD</v>
      </c>
      <c r="H1309" s="408" t="str">
        <f>IFERROR(AVERAGE(Rankings!$K1309:$L1309, Rankings!$N1309:$R1309), "TBD")</f>
        <v>TBD</v>
      </c>
      <c r="I1309" s="437"/>
      <c r="J1309" s="437"/>
      <c r="K1309" s="430"/>
      <c r="L1309" s="431"/>
      <c r="M1309" s="431"/>
      <c r="N1309" s="555"/>
      <c r="O1309" s="431"/>
      <c r="P1309" s="431"/>
      <c r="Q1309" s="464"/>
      <c r="R1309" s="465"/>
      <c r="S1309" s="466" t="str">
        <f>IF(ISTEXT($V1309), "TBD", RANK(V1309,$V1307:$V1313))</f>
        <v>TBD</v>
      </c>
      <c r="T1309" s="467">
        <v>1.0</v>
      </c>
      <c r="U1309" s="468" t="b">
        <f>Rankings!$S1309=Rankings!$T1309</f>
        <v>0</v>
      </c>
      <c r="V1309" s="553" t="str">
        <f>IF(ISTEXT(Rankings!F1309), "TBD", (RANK($F1309,$F1307:$F1313) + IF(ISTEXT($H1309), 0, (RANK($H1309,$H1307:$H1313)/10)) + (RANK($G1309,$G1307:$G1313)/100)))</f>
        <v>TBD</v>
      </c>
      <c r="W1309" s="153"/>
      <c r="Y1309" s="443"/>
    </row>
    <row r="1310" ht="15.75" customHeight="1">
      <c r="A1310" s="134"/>
      <c r="B1310" s="134"/>
      <c r="C1310" s="134"/>
      <c r="D1310" s="557" t="str">
        <f>D1307</f>
        <v/>
      </c>
      <c r="E1310" s="470" t="str">
        <f>$N$1</f>
        <v>Rosey</v>
      </c>
      <c r="F1310" s="411" t="str">
        <f>IFERROR(AVERAGE(Rankings!$K1310:$R1310), "TBD")</f>
        <v>TBD</v>
      </c>
      <c r="G1310" s="411" t="str">
        <f>IFERROR(_xlfn.STDEV.P(Rankings!$K1310:$R1310), "TBD")</f>
        <v>TBD</v>
      </c>
      <c r="H1310" s="411" t="str">
        <f>IFERROR(AVERAGE(Rankings!$K1310:$M1310, Rankings!$O1310:$R1310), "TBD")</f>
        <v>TBD</v>
      </c>
      <c r="I1310" s="438"/>
      <c r="J1310" s="438"/>
      <c r="K1310" s="430"/>
      <c r="L1310" s="566"/>
      <c r="M1310" s="431"/>
      <c r="N1310" s="555"/>
      <c r="O1310" s="431" t="s">
        <v>1697</v>
      </c>
      <c r="P1310" s="431" t="s">
        <v>1698</v>
      </c>
      <c r="Q1310" s="464" t="s">
        <v>1766</v>
      </c>
      <c r="R1310" s="465"/>
      <c r="S1310" s="466" t="str">
        <f>IF(ISTEXT($V1310), "TBD", RANK(V1310,$V1307:$V1313))</f>
        <v>TBD</v>
      </c>
      <c r="T1310" s="467">
        <v>1.0</v>
      </c>
      <c r="U1310" s="468" t="b">
        <f>Rankings!$S1310=Rankings!$T1310</f>
        <v>0</v>
      </c>
      <c r="V1310" s="553" t="str">
        <f>IF(ISTEXT(Rankings!F1310), "TBD", (RANK($F1310,$F1307:$F1313) + IF(ISTEXT($H1310), 0, (RANK($H1310,$H1307:$H1313)/10)) + (RANK($G1310,$G1307:$G1313)/100)))</f>
        <v>TBD</v>
      </c>
      <c r="W1310" s="153"/>
      <c r="Y1310" s="443"/>
    </row>
    <row r="1311" ht="15.75" customHeight="1">
      <c r="A1311" s="134"/>
      <c r="B1311" s="134"/>
      <c r="C1311" s="134"/>
      <c r="D1311" s="561" t="str">
        <f t="shared" ref="D1311:D1313" si="188">D1307</f>
        <v/>
      </c>
      <c r="E1311" s="471" t="str">
        <f>$O$1</f>
        <v>TTAC</v>
      </c>
      <c r="F1311" s="414" t="str">
        <f>IFERROR(AVERAGE(Rankings!$K1311:$R1311), "TBD")</f>
        <v>TBD</v>
      </c>
      <c r="G1311" s="414" t="str">
        <f>IFERROR(_xlfn.STDEV.P(Rankings!$K1311:$R1311), "TBD")</f>
        <v>TBD</v>
      </c>
      <c r="H1311" s="414" t="str">
        <f>IFERROR(AVERAGE(Rankings!$K1311:$N1311, Rankings!$P1311:$R1311), "TBD")</f>
        <v>TBD</v>
      </c>
      <c r="I1311" s="439"/>
      <c r="J1311" s="439"/>
      <c r="K1311" s="430"/>
      <c r="L1311" s="431"/>
      <c r="M1311" s="431"/>
      <c r="N1311" s="555"/>
      <c r="O1311" s="431"/>
      <c r="P1311" s="431"/>
      <c r="Q1311" s="464"/>
      <c r="R1311" s="465"/>
      <c r="S1311" s="466" t="str">
        <f>IF(ISTEXT($V1311), "TBD", RANK(V1311,$V1307:$V1313))</f>
        <v>TBD</v>
      </c>
      <c r="T1311" s="467">
        <v>1.0</v>
      </c>
      <c r="U1311" s="468" t="b">
        <f>Rankings!$S1311=Rankings!$T1311</f>
        <v>0</v>
      </c>
      <c r="V1311" s="553" t="str">
        <f>IF(ISTEXT(Rankings!F1311), "TBD", (RANK($F1311,$F1307:$F1313) + IF(ISTEXT($H1311), 0, (RANK($H1311,$H1307:$H1313)/10)) + (RANK($G1311,$G1307:$G1313)/100)))</f>
        <v>TBD</v>
      </c>
      <c r="W1311" s="153"/>
      <c r="Y1311" s="443"/>
    </row>
    <row r="1312" ht="15.75" customHeight="1">
      <c r="A1312" s="134"/>
      <c r="B1312" s="134"/>
      <c r="C1312" s="134"/>
      <c r="D1312" s="562" t="str">
        <f t="shared" si="188"/>
        <v/>
      </c>
      <c r="E1312" s="472" t="str">
        <f>$P$1</f>
        <v>Weston</v>
      </c>
      <c r="F1312" s="418" t="str">
        <f>IFERROR(AVERAGE(Rankings!$K1312:$R1312), "TBD")</f>
        <v>TBD</v>
      </c>
      <c r="G1312" s="418" t="str">
        <f>IFERROR(_xlfn.STDEV.P(Rankings!$K1312:$R1312), "TBD")</f>
        <v>TBD</v>
      </c>
      <c r="H1312" s="418" t="str">
        <f>IFERROR(AVERAGE(Rankings!$K1312:$O1312, Rankings!$Q1312:$R1312), "TBD")</f>
        <v>TBD</v>
      </c>
      <c r="I1312" s="440"/>
      <c r="J1312" s="440"/>
      <c r="K1312" s="430"/>
      <c r="L1312" s="431"/>
      <c r="M1312" s="431"/>
      <c r="N1312" s="555"/>
      <c r="O1312" s="431"/>
      <c r="P1312" s="431"/>
      <c r="Q1312" s="464"/>
      <c r="R1312" s="465"/>
      <c r="S1312" s="466" t="str">
        <f>IF(ISTEXT($V1312), "TBD", RANK(V1312,$V1307:$V1313))</f>
        <v>TBD</v>
      </c>
      <c r="T1312" s="467">
        <v>1.0</v>
      </c>
      <c r="U1312" s="468" t="b">
        <f>Rankings!$S1312=Rankings!$T1312</f>
        <v>0</v>
      </c>
      <c r="V1312" s="553" t="str">
        <f>IF(ISTEXT(Rankings!F1312), "TBD", (RANK($F1312,$F1307:$F1313) + IF(ISTEXT($H1312), 0, (RANK($H1312,$H1307:$H1313)/10)) + (RANK($G1312,$G1307:$G1313)/100)))</f>
        <v>TBD</v>
      </c>
      <c r="W1312" s="153"/>
      <c r="Y1312" s="443"/>
    </row>
    <row r="1313" ht="15.75" customHeight="1">
      <c r="A1313" s="189"/>
      <c r="B1313" s="189"/>
      <c r="C1313" s="189"/>
      <c r="D1313" s="563" t="str">
        <f t="shared" si="188"/>
        <v/>
      </c>
      <c r="E1313" s="230" t="str">
        <f>$Q$1</f>
        <v>Flocco</v>
      </c>
      <c r="F1313" s="474" t="str">
        <f>IFERROR(AVERAGE(Rankings!$K1313:$R1313), "TBD")</f>
        <v>TBD</v>
      </c>
      <c r="G1313" s="474" t="str">
        <f>IFERROR(_xlfn.STDEV.P(Rankings!$K1313:$R1313), "TBD")</f>
        <v>TBD</v>
      </c>
      <c r="H1313" s="474" t="str">
        <f>IFERROR(AVERAGE(Rankings!$K1313:$P1313, Rankings!$R1313), "TBD")</f>
        <v>TBD</v>
      </c>
      <c r="I1313" s="475"/>
      <c r="J1313" s="475"/>
      <c r="K1313" s="430"/>
      <c r="L1313" s="431"/>
      <c r="M1313" s="431"/>
      <c r="N1313" s="555"/>
      <c r="O1313" s="431"/>
      <c r="P1313" s="431"/>
      <c r="Q1313" s="464"/>
      <c r="R1313" s="465"/>
      <c r="S1313" s="466" t="str">
        <f>IF(ISTEXT($V1313), "TBD", RANK(V1313,$V1307:$V1313))</f>
        <v>TBD</v>
      </c>
      <c r="T1313" s="467">
        <v>1.0</v>
      </c>
      <c r="U1313" s="468" t="b">
        <f>Rankings!$S1313=Rankings!$T1313</f>
        <v>0</v>
      </c>
      <c r="V1313" s="553" t="str">
        <f>IF(ISTEXT(Rankings!F1313), "TBD", (RANK($F1313,$F1307:$F1313) + IF(ISTEXT($H1313), 0, (RANK($H1313,$H1307:$H1313)/10)) + (RANK($G1313,$G1307:$G1313)/100)))</f>
        <v>TBD</v>
      </c>
      <c r="W1313" s="208"/>
      <c r="Y1313" s="443"/>
    </row>
    <row r="1314" ht="15.75" customHeight="1">
      <c r="A1314" s="103"/>
      <c r="B1314" s="453"/>
      <c r="C1314" s="454" t="str">
        <f t="array" ref="C1314">INDEX(Rankings!$E1314:$E1320, MATCH(1, (Rankings!$D1314:$D1320=$A1314)*(Rankings!$U1314:$U1320=TRUE()), 0))</f>
        <v>#N/A</v>
      </c>
      <c r="D1314" s="551" t="str">
        <f>A1314</f>
        <v/>
      </c>
      <c r="E1314" s="455" t="str">
        <f>$K$1</f>
        <v>Logan</v>
      </c>
      <c r="F1314" s="400" t="str">
        <f>IFERROR(AVERAGE(Rankings!$K1314:$R1314), "TBD")</f>
        <v>TBD</v>
      </c>
      <c r="G1314" s="400" t="str">
        <f>IFERROR(_xlfn.STDEV.P(Rankings!$K1314:$R1314), "TBD")</f>
        <v>TBD</v>
      </c>
      <c r="H1314" s="400" t="str">
        <f>IFERROR(AVERAGE(Rankings!$L1314:$R1314), "TBD")</f>
        <v>TBD</v>
      </c>
      <c r="I1314" s="421"/>
      <c r="J1314" s="421"/>
      <c r="K1314" s="422"/>
      <c r="L1314" s="423"/>
      <c r="M1314" s="423"/>
      <c r="N1314" s="555"/>
      <c r="O1314" s="423"/>
      <c r="P1314" s="423"/>
      <c r="Q1314" s="456"/>
      <c r="R1314" s="457"/>
      <c r="S1314" s="458" t="str">
        <f>IF(ISTEXT($V1314), "TBD", RANK(V1314,$V1314:$V1320))</f>
        <v>TBD</v>
      </c>
      <c r="T1314" s="576">
        <v>1.0</v>
      </c>
      <c r="U1314" s="460" t="b">
        <f>Rankings!$S1314=Rankings!$T1314</f>
        <v>0</v>
      </c>
      <c r="V1314" s="553" t="str">
        <f>IF(ISTEXT(Rankings!F1314), "TBD", (RANK($F1314,$F1314:$F1320) + IF(ISTEXT($H1314), 0, (RANK($H1314,$H1314:$H1320)/10)) + (RANK($G1314,$G1314:$G1320)/100)))</f>
        <v>TBD</v>
      </c>
      <c r="W1314" s="329"/>
      <c r="Y1314" s="443"/>
    </row>
    <row r="1315" ht="15.75" customHeight="1">
      <c r="A1315" s="134"/>
      <c r="B1315" s="134"/>
      <c r="C1315" s="134"/>
      <c r="D1315" s="554" t="str">
        <f>D1314</f>
        <v/>
      </c>
      <c r="E1315" s="463" t="str">
        <f>$L$1</f>
        <v>Parker</v>
      </c>
      <c r="F1315" s="404" t="str">
        <f>IFERROR(AVERAGE(Rankings!$K1315:$R1315), "TBD")</f>
        <v>TBD</v>
      </c>
      <c r="G1315" s="404" t="str">
        <f>IFERROR(_xlfn.STDEV.P(Rankings!$K1315:$R1315), "TBD")</f>
        <v>TBD</v>
      </c>
      <c r="H1315" s="404" t="str">
        <f>IFERROR(AVERAGE(Rankings!$K1315, Rankings!$M1315:$R1315), "TBD")</f>
        <v>TBD</v>
      </c>
      <c r="I1315" s="429"/>
      <c r="J1315" s="429"/>
      <c r="K1315" s="430"/>
      <c r="L1315" s="431"/>
      <c r="M1315" s="431"/>
      <c r="N1315" s="555"/>
      <c r="O1315" s="431"/>
      <c r="P1315" s="431"/>
      <c r="Q1315" s="464"/>
      <c r="R1315" s="465"/>
      <c r="S1315" s="466" t="str">
        <f>IF(ISTEXT($V1315), "TBD", RANK(V1315,$V1314:$V1320))</f>
        <v>TBD</v>
      </c>
      <c r="T1315" s="444">
        <v>1.0</v>
      </c>
      <c r="U1315" s="468" t="b">
        <f>Rankings!$S1315=Rankings!$T1315</f>
        <v>0</v>
      </c>
      <c r="V1315" s="553" t="str">
        <f>IF(ISTEXT(Rankings!F1315), "TBD", (RANK($F1315,$F1314:$F1320) + IF(ISTEXT($H1315), 0, (RANK($H1315,$H1314:$H1320)/10)) + (RANK($G1315,$G1314:$G1320)/100)))</f>
        <v>TBD</v>
      </c>
      <c r="W1315" s="153"/>
      <c r="Y1315" s="443"/>
    </row>
    <row r="1316" ht="15.75" customHeight="1">
      <c r="A1316" s="134"/>
      <c r="B1316" s="134"/>
      <c r="C1316" s="134"/>
      <c r="D1316" s="556" t="str">
        <f>D1314</f>
        <v/>
      </c>
      <c r="E1316" s="469" t="str">
        <f>$M$1</f>
        <v>Giacomo</v>
      </c>
      <c r="F1316" s="408" t="str">
        <f>IFERROR(AVERAGE(Rankings!$K1316:$R1316), "TBD")</f>
        <v>TBD</v>
      </c>
      <c r="G1316" s="408" t="str">
        <f>IFERROR(_xlfn.STDEV.P(Rankings!$K1316:$R1316), "TBD")</f>
        <v>TBD</v>
      </c>
      <c r="H1316" s="408" t="str">
        <f>IFERROR(AVERAGE(Rankings!$K1316:$L1316, Rankings!$N1316:$R1316), "TBD")</f>
        <v>TBD</v>
      </c>
      <c r="I1316" s="437"/>
      <c r="J1316" s="437"/>
      <c r="K1316" s="430"/>
      <c r="L1316" s="431"/>
      <c r="M1316" s="431"/>
      <c r="N1316" s="555"/>
      <c r="O1316" s="431"/>
      <c r="P1316" s="431"/>
      <c r="Q1316" s="464"/>
      <c r="R1316" s="465"/>
      <c r="S1316" s="466" t="str">
        <f>IF(ISTEXT($V1316), "TBD", RANK(V1316,$V1314:$V1320))</f>
        <v>TBD</v>
      </c>
      <c r="T1316" s="467">
        <v>1.0</v>
      </c>
      <c r="U1316" s="468" t="b">
        <f>Rankings!$S1316=Rankings!$T1316</f>
        <v>0</v>
      </c>
      <c r="V1316" s="553" t="str">
        <f>IF(ISTEXT(Rankings!F1316), "TBD", (RANK($F1316,$F1314:$F1320) + IF(ISTEXT($H1316), 0, (RANK($H1316,$H1314:$H1320)/10)) + (RANK($G1316,$G1314:$G1320)/100)))</f>
        <v>TBD</v>
      </c>
      <c r="W1316" s="153"/>
      <c r="Y1316" s="443"/>
    </row>
    <row r="1317" ht="15.75" customHeight="1">
      <c r="A1317" s="134"/>
      <c r="B1317" s="134"/>
      <c r="C1317" s="134"/>
      <c r="D1317" s="557" t="str">
        <f>D1314</f>
        <v/>
      </c>
      <c r="E1317" s="470" t="str">
        <f>$N$1</f>
        <v>Rosey</v>
      </c>
      <c r="F1317" s="411" t="str">
        <f>IFERROR(AVERAGE(Rankings!$K1317:$R1317), "TBD")</f>
        <v>TBD</v>
      </c>
      <c r="G1317" s="411" t="str">
        <f>IFERROR(_xlfn.STDEV.P(Rankings!$K1317:$R1317), "TBD")</f>
        <v>TBD</v>
      </c>
      <c r="H1317" s="411" t="str">
        <f>IFERROR(AVERAGE(Rankings!$K1317:$M1317, Rankings!$O1317:$R1317), "TBD")</f>
        <v>TBD</v>
      </c>
      <c r="I1317" s="438"/>
      <c r="J1317" s="438"/>
      <c r="K1317" s="430"/>
      <c r="L1317" s="566"/>
      <c r="M1317" s="431"/>
      <c r="N1317" s="555"/>
      <c r="O1317" s="431" t="s">
        <v>1697</v>
      </c>
      <c r="P1317" s="431" t="s">
        <v>1698</v>
      </c>
      <c r="Q1317" s="464" t="s">
        <v>1766</v>
      </c>
      <c r="R1317" s="465"/>
      <c r="S1317" s="466" t="str">
        <f>IF(ISTEXT($V1317), "TBD", RANK(V1317,$V1314:$V1320))</f>
        <v>TBD</v>
      </c>
      <c r="T1317" s="467">
        <v>1.0</v>
      </c>
      <c r="U1317" s="468" t="b">
        <f>Rankings!$S1317=Rankings!$T1317</f>
        <v>0</v>
      </c>
      <c r="V1317" s="553" t="str">
        <f>IF(ISTEXT(Rankings!F1317), "TBD", (RANK($F1317,$F1314:$F1320) + IF(ISTEXT($H1317), 0, (RANK($H1317,$H1314:$H1320)/10)) + (RANK($G1317,$G1314:$G1320)/100)))</f>
        <v>TBD</v>
      </c>
      <c r="W1317" s="153"/>
      <c r="Y1317" s="443"/>
    </row>
    <row r="1318" ht="15.75" customHeight="1">
      <c r="A1318" s="134"/>
      <c r="B1318" s="134"/>
      <c r="C1318" s="134"/>
      <c r="D1318" s="561" t="str">
        <f t="shared" ref="D1318:D1320" si="189">D1314</f>
        <v/>
      </c>
      <c r="E1318" s="471" t="str">
        <f>$O$1</f>
        <v>TTAC</v>
      </c>
      <c r="F1318" s="414" t="str">
        <f>IFERROR(AVERAGE(Rankings!$K1318:$R1318), "TBD")</f>
        <v>TBD</v>
      </c>
      <c r="G1318" s="414" t="str">
        <f>IFERROR(_xlfn.STDEV.P(Rankings!$K1318:$R1318), "TBD")</f>
        <v>TBD</v>
      </c>
      <c r="H1318" s="414" t="str">
        <f>IFERROR(AVERAGE(Rankings!$K1318:$N1318, Rankings!$P1318:$R1318), "TBD")</f>
        <v>TBD</v>
      </c>
      <c r="I1318" s="439"/>
      <c r="J1318" s="439"/>
      <c r="K1318" s="430"/>
      <c r="L1318" s="431"/>
      <c r="M1318" s="431"/>
      <c r="N1318" s="555"/>
      <c r="O1318" s="431"/>
      <c r="P1318" s="431"/>
      <c r="Q1318" s="464"/>
      <c r="R1318" s="465"/>
      <c r="S1318" s="466" t="str">
        <f>IF(ISTEXT($V1318), "TBD", RANK(V1318,$V1314:$V1320))</f>
        <v>TBD</v>
      </c>
      <c r="T1318" s="467">
        <v>1.0</v>
      </c>
      <c r="U1318" s="468" t="b">
        <f>Rankings!$S1318=Rankings!$T1318</f>
        <v>0</v>
      </c>
      <c r="V1318" s="553" t="str">
        <f>IF(ISTEXT(Rankings!F1318), "TBD", (RANK($F1318,$F1314:$F1320) + IF(ISTEXT($H1318), 0, (RANK($H1318,$H1314:$H1320)/10)) + (RANK($G1318,$G1314:$G1320)/100)))</f>
        <v>TBD</v>
      </c>
      <c r="W1318" s="153"/>
      <c r="Y1318" s="443"/>
    </row>
    <row r="1319" ht="15.75" customHeight="1">
      <c r="A1319" s="134"/>
      <c r="B1319" s="134"/>
      <c r="C1319" s="134"/>
      <c r="D1319" s="562" t="str">
        <f t="shared" si="189"/>
        <v/>
      </c>
      <c r="E1319" s="472" t="str">
        <f>$P$1</f>
        <v>Weston</v>
      </c>
      <c r="F1319" s="418" t="str">
        <f>IFERROR(AVERAGE(Rankings!$K1319:$R1319), "TBD")</f>
        <v>TBD</v>
      </c>
      <c r="G1319" s="418" t="str">
        <f>IFERROR(_xlfn.STDEV.P(Rankings!$K1319:$R1319), "TBD")</f>
        <v>TBD</v>
      </c>
      <c r="H1319" s="418" t="str">
        <f>IFERROR(AVERAGE(Rankings!$K1319:$O1319, Rankings!$Q1319:$R1319), "TBD")</f>
        <v>TBD</v>
      </c>
      <c r="I1319" s="440"/>
      <c r="J1319" s="440"/>
      <c r="K1319" s="430"/>
      <c r="L1319" s="431"/>
      <c r="M1319" s="431"/>
      <c r="N1319" s="555"/>
      <c r="O1319" s="431"/>
      <c r="P1319" s="431"/>
      <c r="Q1319" s="464"/>
      <c r="R1319" s="465"/>
      <c r="S1319" s="466" t="str">
        <f>IF(ISTEXT($V1319), "TBD", RANK(V1319,$V1314:$V1320))</f>
        <v>TBD</v>
      </c>
      <c r="T1319" s="467">
        <v>1.0</v>
      </c>
      <c r="U1319" s="468" t="b">
        <f>Rankings!$S1319=Rankings!$T1319</f>
        <v>0</v>
      </c>
      <c r="V1319" s="553" t="str">
        <f>IF(ISTEXT(Rankings!F1319), "TBD", (RANK($F1319,$F1314:$F1320) + IF(ISTEXT($H1319), 0, (RANK($H1319,$H1314:$H1320)/10)) + (RANK($G1319,$G1314:$G1320)/100)))</f>
        <v>TBD</v>
      </c>
      <c r="W1319" s="153"/>
      <c r="Y1319" s="443"/>
    </row>
    <row r="1320" ht="15.75" customHeight="1">
      <c r="A1320" s="189"/>
      <c r="B1320" s="189"/>
      <c r="C1320" s="189"/>
      <c r="D1320" s="563" t="str">
        <f t="shared" si="189"/>
        <v/>
      </c>
      <c r="E1320" s="230" t="str">
        <f>$Q$1</f>
        <v>Flocco</v>
      </c>
      <c r="F1320" s="474" t="str">
        <f>IFERROR(AVERAGE(Rankings!$K1320:$R1320), "TBD")</f>
        <v>TBD</v>
      </c>
      <c r="G1320" s="474" t="str">
        <f>IFERROR(_xlfn.STDEV.P(Rankings!$K1320:$R1320), "TBD")</f>
        <v>TBD</v>
      </c>
      <c r="H1320" s="474" t="str">
        <f>IFERROR(AVERAGE(Rankings!$K1320:$P1320, Rankings!$R1320), "TBD")</f>
        <v>TBD</v>
      </c>
      <c r="I1320" s="475"/>
      <c r="J1320" s="475"/>
      <c r="K1320" s="430"/>
      <c r="L1320" s="431"/>
      <c r="M1320" s="431"/>
      <c r="N1320" s="555"/>
      <c r="O1320" s="431"/>
      <c r="P1320" s="431"/>
      <c r="Q1320" s="464"/>
      <c r="R1320" s="465"/>
      <c r="S1320" s="466" t="str">
        <f>IF(ISTEXT($V1320), "TBD", RANK(V1320,$V1314:$V1320))</f>
        <v>TBD</v>
      </c>
      <c r="T1320" s="467">
        <v>1.0</v>
      </c>
      <c r="U1320" s="468" t="b">
        <f>Rankings!$S1320=Rankings!$T1320</f>
        <v>0</v>
      </c>
      <c r="V1320" s="553" t="str">
        <f>IF(ISTEXT(Rankings!F1320), "TBD", (RANK($F1320,$F1314:$F1320) + IF(ISTEXT($H1320), 0, (RANK($H1320,$H1314:$H1320)/10)) + (RANK($G1320,$G1314:$G1320)/100)))</f>
        <v>TBD</v>
      </c>
      <c r="W1320" s="208"/>
      <c r="Y1320" s="443"/>
    </row>
    <row r="1321" ht="15.75" customHeight="1">
      <c r="A1321" s="103"/>
      <c r="B1321" s="453"/>
      <c r="C1321" s="454" t="str">
        <f t="array" ref="C1321">INDEX(Rankings!$E1321:$E1327, MATCH(1, (Rankings!$D1321:$D1327=$A1321)*(Rankings!$U1321:$U1327=TRUE()), 0))</f>
        <v>#N/A</v>
      </c>
      <c r="D1321" s="551" t="str">
        <f>A1321</f>
        <v/>
      </c>
      <c r="E1321" s="455" t="str">
        <f>$K$1</f>
        <v>Logan</v>
      </c>
      <c r="F1321" s="400" t="str">
        <f>IFERROR(AVERAGE(Rankings!$K1321:$R1321), "TBD")</f>
        <v>TBD</v>
      </c>
      <c r="G1321" s="400" t="str">
        <f>IFERROR(_xlfn.STDEV.P(Rankings!$K1321:$R1321), "TBD")</f>
        <v>TBD</v>
      </c>
      <c r="H1321" s="400" t="str">
        <f>IFERROR(AVERAGE(Rankings!$L1321:$R1321), "TBD")</f>
        <v>TBD</v>
      </c>
      <c r="I1321" s="421"/>
      <c r="J1321" s="421"/>
      <c r="K1321" s="422"/>
      <c r="L1321" s="423"/>
      <c r="M1321" s="423"/>
      <c r="N1321" s="555"/>
      <c r="O1321" s="423"/>
      <c r="P1321" s="423"/>
      <c r="Q1321" s="456"/>
      <c r="R1321" s="457"/>
      <c r="S1321" s="458" t="str">
        <f>IF(ISTEXT($V1321), "TBD", RANK(V1321,$V1321:$V1327))</f>
        <v>TBD</v>
      </c>
      <c r="T1321" s="576">
        <v>1.0</v>
      </c>
      <c r="U1321" s="460" t="b">
        <f>Rankings!$S1321=Rankings!$T1321</f>
        <v>0</v>
      </c>
      <c r="V1321" s="553" t="str">
        <f>IF(ISTEXT(Rankings!F1321), "TBD", (RANK($F1321,$F1321:$F1327) + IF(ISTEXT($H1321), 0, (RANK($H1321,$H1321:$H1327)/10)) + (RANK($G1321,$G1321:$G1327)/100)))</f>
        <v>TBD</v>
      </c>
      <c r="W1321" s="329"/>
      <c r="Y1321" s="443"/>
    </row>
    <row r="1322" ht="15.75" customHeight="1">
      <c r="A1322" s="134"/>
      <c r="B1322" s="134"/>
      <c r="C1322" s="134"/>
      <c r="D1322" s="554" t="str">
        <f>D1321</f>
        <v/>
      </c>
      <c r="E1322" s="463" t="str">
        <f>$L$1</f>
        <v>Parker</v>
      </c>
      <c r="F1322" s="404" t="str">
        <f>IFERROR(AVERAGE(Rankings!$K1322:$R1322), "TBD")</f>
        <v>TBD</v>
      </c>
      <c r="G1322" s="404" t="str">
        <f>IFERROR(_xlfn.STDEV.P(Rankings!$K1322:$R1322), "TBD")</f>
        <v>TBD</v>
      </c>
      <c r="H1322" s="404" t="str">
        <f>IFERROR(AVERAGE(Rankings!$K1322, Rankings!$M1322:$R1322), "TBD")</f>
        <v>TBD</v>
      </c>
      <c r="I1322" s="429"/>
      <c r="J1322" s="429"/>
      <c r="K1322" s="430"/>
      <c r="L1322" s="431"/>
      <c r="M1322" s="431"/>
      <c r="N1322" s="555"/>
      <c r="O1322" s="431"/>
      <c r="P1322" s="431"/>
      <c r="Q1322" s="464"/>
      <c r="R1322" s="465"/>
      <c r="S1322" s="466" t="str">
        <f>IF(ISTEXT($V1322), "TBD", RANK(V1322,$V1321:$V1327))</f>
        <v>TBD</v>
      </c>
      <c r="T1322" s="444">
        <v>1.0</v>
      </c>
      <c r="U1322" s="468" t="b">
        <f>Rankings!$S1322=Rankings!$T1322</f>
        <v>0</v>
      </c>
      <c r="V1322" s="553" t="str">
        <f>IF(ISTEXT(Rankings!F1322), "TBD", (RANK($F1322,$F1321:$F1327) + IF(ISTEXT($H1322), 0, (RANK($H1322,$H1321:$H1327)/10)) + (RANK($G1322,$G1321:$G1327)/100)))</f>
        <v>TBD</v>
      </c>
      <c r="W1322" s="153"/>
      <c r="Y1322" s="443"/>
    </row>
    <row r="1323" ht="15.75" customHeight="1">
      <c r="A1323" s="134"/>
      <c r="B1323" s="134"/>
      <c r="C1323" s="134"/>
      <c r="D1323" s="556" t="str">
        <f>D1321</f>
        <v/>
      </c>
      <c r="E1323" s="469" t="str">
        <f>$M$1</f>
        <v>Giacomo</v>
      </c>
      <c r="F1323" s="408" t="str">
        <f>IFERROR(AVERAGE(Rankings!$K1323:$R1323), "TBD")</f>
        <v>TBD</v>
      </c>
      <c r="G1323" s="408" t="str">
        <f>IFERROR(_xlfn.STDEV.P(Rankings!$K1323:$R1323), "TBD")</f>
        <v>TBD</v>
      </c>
      <c r="H1323" s="408" t="str">
        <f>IFERROR(AVERAGE(Rankings!$K1323:$L1323, Rankings!$N1323:$R1323), "TBD")</f>
        <v>TBD</v>
      </c>
      <c r="I1323" s="437"/>
      <c r="J1323" s="437"/>
      <c r="K1323" s="430"/>
      <c r="L1323" s="431"/>
      <c r="M1323" s="431"/>
      <c r="N1323" s="555"/>
      <c r="O1323" s="431"/>
      <c r="P1323" s="431"/>
      <c r="Q1323" s="464"/>
      <c r="R1323" s="465"/>
      <c r="S1323" s="466" t="str">
        <f>IF(ISTEXT($V1323), "TBD", RANK(V1323,$V1321:$V1327))</f>
        <v>TBD</v>
      </c>
      <c r="T1323" s="467">
        <v>1.0</v>
      </c>
      <c r="U1323" s="468" t="b">
        <f>Rankings!$S1323=Rankings!$T1323</f>
        <v>0</v>
      </c>
      <c r="V1323" s="553" t="str">
        <f>IF(ISTEXT(Rankings!F1323), "TBD", (RANK($F1323,$F1321:$F1327) + IF(ISTEXT($H1323), 0, (RANK($H1323,$H1321:$H1327)/10)) + (RANK($G1323,$G1321:$G1327)/100)))</f>
        <v>TBD</v>
      </c>
      <c r="W1323" s="153"/>
      <c r="Y1323" s="443"/>
    </row>
    <row r="1324" ht="15.75" customHeight="1">
      <c r="A1324" s="134"/>
      <c r="B1324" s="134"/>
      <c r="C1324" s="134"/>
      <c r="D1324" s="557" t="str">
        <f>D1321</f>
        <v/>
      </c>
      <c r="E1324" s="470" t="str">
        <f>$N$1</f>
        <v>Rosey</v>
      </c>
      <c r="F1324" s="411" t="str">
        <f>IFERROR(AVERAGE(Rankings!$K1324:$R1324), "TBD")</f>
        <v>TBD</v>
      </c>
      <c r="G1324" s="411" t="str">
        <f>IFERROR(_xlfn.STDEV.P(Rankings!$K1324:$R1324), "TBD")</f>
        <v>TBD</v>
      </c>
      <c r="H1324" s="411" t="str">
        <f>IFERROR(AVERAGE(Rankings!$K1324:$M1324, Rankings!$O1324:$R1324), "TBD")</f>
        <v>TBD</v>
      </c>
      <c r="I1324" s="438"/>
      <c r="J1324" s="438"/>
      <c r="K1324" s="430"/>
      <c r="L1324" s="566"/>
      <c r="M1324" s="431"/>
      <c r="N1324" s="555"/>
      <c r="O1324" s="431" t="s">
        <v>1697</v>
      </c>
      <c r="P1324" s="431" t="s">
        <v>1698</v>
      </c>
      <c r="Q1324" s="464" t="s">
        <v>1766</v>
      </c>
      <c r="R1324" s="465"/>
      <c r="S1324" s="466" t="str">
        <f>IF(ISTEXT($V1324), "TBD", RANK(V1324,$V1321:$V1327))</f>
        <v>TBD</v>
      </c>
      <c r="T1324" s="467">
        <v>1.0</v>
      </c>
      <c r="U1324" s="468" t="b">
        <f>Rankings!$S1324=Rankings!$T1324</f>
        <v>0</v>
      </c>
      <c r="V1324" s="553" t="str">
        <f>IF(ISTEXT(Rankings!F1324), "TBD", (RANK($F1324,$F1321:$F1327) + IF(ISTEXT($H1324), 0, (RANK($H1324,$H1321:$H1327)/10)) + (RANK($G1324,$G1321:$G1327)/100)))</f>
        <v>TBD</v>
      </c>
      <c r="W1324" s="153"/>
      <c r="Y1324" s="443"/>
    </row>
    <row r="1325" ht="15.75" customHeight="1">
      <c r="A1325" s="134"/>
      <c r="B1325" s="134"/>
      <c r="C1325" s="134"/>
      <c r="D1325" s="561" t="str">
        <f t="shared" ref="D1325:D1327" si="190">D1321</f>
        <v/>
      </c>
      <c r="E1325" s="471" t="str">
        <f>$O$1</f>
        <v>TTAC</v>
      </c>
      <c r="F1325" s="414" t="str">
        <f>IFERROR(AVERAGE(Rankings!$K1325:$R1325), "TBD")</f>
        <v>TBD</v>
      </c>
      <c r="G1325" s="414" t="str">
        <f>IFERROR(_xlfn.STDEV.P(Rankings!$K1325:$R1325), "TBD")</f>
        <v>TBD</v>
      </c>
      <c r="H1325" s="414" t="str">
        <f>IFERROR(AVERAGE(Rankings!$K1325:$N1325, Rankings!$P1325:$R1325), "TBD")</f>
        <v>TBD</v>
      </c>
      <c r="I1325" s="439"/>
      <c r="J1325" s="439"/>
      <c r="K1325" s="430"/>
      <c r="L1325" s="431"/>
      <c r="M1325" s="431"/>
      <c r="N1325" s="555"/>
      <c r="O1325" s="431"/>
      <c r="P1325" s="431"/>
      <c r="Q1325" s="464"/>
      <c r="R1325" s="465"/>
      <c r="S1325" s="466" t="str">
        <f>IF(ISTEXT($V1325), "TBD", RANK(V1325,$V1321:$V1327))</f>
        <v>TBD</v>
      </c>
      <c r="T1325" s="467">
        <v>1.0</v>
      </c>
      <c r="U1325" s="468" t="b">
        <f>Rankings!$S1325=Rankings!$T1325</f>
        <v>0</v>
      </c>
      <c r="V1325" s="553" t="str">
        <f>IF(ISTEXT(Rankings!F1325), "TBD", (RANK($F1325,$F1321:$F1327) + IF(ISTEXT($H1325), 0, (RANK($H1325,$H1321:$H1327)/10)) + (RANK($G1325,$G1321:$G1327)/100)))</f>
        <v>TBD</v>
      </c>
      <c r="W1325" s="153"/>
      <c r="Y1325" s="443"/>
    </row>
    <row r="1326" ht="15.75" customHeight="1">
      <c r="A1326" s="134"/>
      <c r="B1326" s="134"/>
      <c r="C1326" s="134"/>
      <c r="D1326" s="562" t="str">
        <f t="shared" si="190"/>
        <v/>
      </c>
      <c r="E1326" s="472" t="str">
        <f>$P$1</f>
        <v>Weston</v>
      </c>
      <c r="F1326" s="418" t="str">
        <f>IFERROR(AVERAGE(Rankings!$K1326:$R1326), "TBD")</f>
        <v>TBD</v>
      </c>
      <c r="G1326" s="418" t="str">
        <f>IFERROR(_xlfn.STDEV.P(Rankings!$K1326:$R1326), "TBD")</f>
        <v>TBD</v>
      </c>
      <c r="H1326" s="418" t="str">
        <f>IFERROR(AVERAGE(Rankings!$K1326:$O1326, Rankings!$Q1326:$R1326), "TBD")</f>
        <v>TBD</v>
      </c>
      <c r="I1326" s="440"/>
      <c r="J1326" s="440"/>
      <c r="K1326" s="430"/>
      <c r="L1326" s="431"/>
      <c r="M1326" s="431"/>
      <c r="N1326" s="555"/>
      <c r="O1326" s="431"/>
      <c r="P1326" s="431"/>
      <c r="Q1326" s="464"/>
      <c r="R1326" s="465"/>
      <c r="S1326" s="466" t="str">
        <f>IF(ISTEXT($V1326), "TBD", RANK(V1326,$V1321:$V1327))</f>
        <v>TBD</v>
      </c>
      <c r="T1326" s="467">
        <v>1.0</v>
      </c>
      <c r="U1326" s="468" t="b">
        <f>Rankings!$S1326=Rankings!$T1326</f>
        <v>0</v>
      </c>
      <c r="V1326" s="553" t="str">
        <f>IF(ISTEXT(Rankings!F1326), "TBD", (RANK($F1326,$F1321:$F1327) + IF(ISTEXT($H1326), 0, (RANK($H1326,$H1321:$H1327)/10)) + (RANK($G1326,$G1321:$G1327)/100)))</f>
        <v>TBD</v>
      </c>
      <c r="W1326" s="153"/>
      <c r="Y1326" s="443"/>
    </row>
    <row r="1327" ht="15.75" customHeight="1">
      <c r="A1327" s="189"/>
      <c r="B1327" s="189"/>
      <c r="C1327" s="189"/>
      <c r="D1327" s="563" t="str">
        <f t="shared" si="190"/>
        <v/>
      </c>
      <c r="E1327" s="230" t="str">
        <f>$Q$1</f>
        <v>Flocco</v>
      </c>
      <c r="F1327" s="474" t="str">
        <f>IFERROR(AVERAGE(Rankings!$K1327:$R1327), "TBD")</f>
        <v>TBD</v>
      </c>
      <c r="G1327" s="474" t="str">
        <f>IFERROR(_xlfn.STDEV.P(Rankings!$K1327:$R1327), "TBD")</f>
        <v>TBD</v>
      </c>
      <c r="H1327" s="474" t="str">
        <f>IFERROR(AVERAGE(Rankings!$K1327:$P1327, Rankings!$R1327), "TBD")</f>
        <v>TBD</v>
      </c>
      <c r="I1327" s="475"/>
      <c r="J1327" s="475"/>
      <c r="K1327" s="430"/>
      <c r="L1327" s="431"/>
      <c r="M1327" s="431"/>
      <c r="N1327" s="555"/>
      <c r="O1327" s="431"/>
      <c r="P1327" s="431"/>
      <c r="Q1327" s="464"/>
      <c r="R1327" s="465"/>
      <c r="S1327" s="466" t="str">
        <f>IF(ISTEXT($V1327), "TBD", RANK(V1327,$V1321:$V1327))</f>
        <v>TBD</v>
      </c>
      <c r="T1327" s="467">
        <v>1.0</v>
      </c>
      <c r="U1327" s="468" t="b">
        <f>Rankings!$S1327=Rankings!$T1327</f>
        <v>0</v>
      </c>
      <c r="V1327" s="553" t="str">
        <f>IF(ISTEXT(Rankings!F1327), "TBD", (RANK($F1327,$F1321:$F1327) + IF(ISTEXT($H1327), 0, (RANK($H1327,$H1321:$H1327)/10)) + (RANK($G1327,$G1321:$G1327)/100)))</f>
        <v>TBD</v>
      </c>
      <c r="W1327" s="208"/>
      <c r="Y1327" s="443"/>
    </row>
    <row r="1328" ht="15.75" customHeight="1">
      <c r="A1328" s="103"/>
      <c r="B1328" s="453"/>
      <c r="C1328" s="454" t="str">
        <f t="array" ref="C1328">INDEX(Rankings!$E1328:$E1334, MATCH(1, (Rankings!$D1328:$D1334=$A1328)*(Rankings!$U1328:$U1334=TRUE()), 0))</f>
        <v>#N/A</v>
      </c>
      <c r="D1328" s="551" t="str">
        <f>A1328</f>
        <v/>
      </c>
      <c r="E1328" s="455" t="str">
        <f>$K$1</f>
        <v>Logan</v>
      </c>
      <c r="F1328" s="400" t="str">
        <f>IFERROR(AVERAGE(Rankings!$K1328:$R1328), "TBD")</f>
        <v>TBD</v>
      </c>
      <c r="G1328" s="400" t="str">
        <f>IFERROR(_xlfn.STDEV.P(Rankings!$K1328:$R1328), "TBD")</f>
        <v>TBD</v>
      </c>
      <c r="H1328" s="400" t="str">
        <f>IFERROR(AVERAGE(Rankings!$L1328:$R1328), "TBD")</f>
        <v>TBD</v>
      </c>
      <c r="I1328" s="421"/>
      <c r="J1328" s="421"/>
      <c r="K1328" s="422"/>
      <c r="L1328" s="423"/>
      <c r="M1328" s="423"/>
      <c r="N1328" s="555"/>
      <c r="O1328" s="423"/>
      <c r="P1328" s="423"/>
      <c r="Q1328" s="456"/>
      <c r="R1328" s="457"/>
      <c r="S1328" s="458" t="str">
        <f>IF(ISTEXT($V1328), "TBD", RANK(V1328,$V1328:$V1334))</f>
        <v>TBD</v>
      </c>
      <c r="T1328" s="576">
        <v>1.0</v>
      </c>
      <c r="U1328" s="460" t="b">
        <f>Rankings!$S1328=Rankings!$T1328</f>
        <v>0</v>
      </c>
      <c r="V1328" s="553" t="str">
        <f>IF(ISTEXT(Rankings!F1328), "TBD", (RANK($F1328,$F1328:$F1334) + IF(ISTEXT($H1328), 0, (RANK($H1328,$H1328:$H1334)/10)) + (RANK($G1328,$G1328:$G1334)/100)))</f>
        <v>TBD</v>
      </c>
      <c r="W1328" s="329"/>
      <c r="Y1328" s="443"/>
    </row>
    <row r="1329" ht="15.75" customHeight="1">
      <c r="A1329" s="134"/>
      <c r="B1329" s="134"/>
      <c r="C1329" s="134"/>
      <c r="D1329" s="554" t="str">
        <f>D1328</f>
        <v/>
      </c>
      <c r="E1329" s="463" t="str">
        <f>$L$1</f>
        <v>Parker</v>
      </c>
      <c r="F1329" s="404" t="str">
        <f>IFERROR(AVERAGE(Rankings!$K1329:$R1329), "TBD")</f>
        <v>TBD</v>
      </c>
      <c r="G1329" s="404" t="str">
        <f>IFERROR(_xlfn.STDEV.P(Rankings!$K1329:$R1329), "TBD")</f>
        <v>TBD</v>
      </c>
      <c r="H1329" s="404" t="str">
        <f>IFERROR(AVERAGE(Rankings!$K1329, Rankings!$M1329:$R1329), "TBD")</f>
        <v>TBD</v>
      </c>
      <c r="I1329" s="429"/>
      <c r="J1329" s="429"/>
      <c r="K1329" s="430"/>
      <c r="L1329" s="431"/>
      <c r="M1329" s="431"/>
      <c r="N1329" s="555"/>
      <c r="O1329" s="431"/>
      <c r="P1329" s="431"/>
      <c r="Q1329" s="464"/>
      <c r="R1329" s="465"/>
      <c r="S1329" s="466" t="str">
        <f>IF(ISTEXT($V1329), "TBD", RANK(V1329,$V1328:$V1334))</f>
        <v>TBD</v>
      </c>
      <c r="T1329" s="444">
        <v>1.0</v>
      </c>
      <c r="U1329" s="468" t="b">
        <f>Rankings!$S1329=Rankings!$T1329</f>
        <v>0</v>
      </c>
      <c r="V1329" s="553" t="str">
        <f>IF(ISTEXT(Rankings!F1329), "TBD", (RANK($F1329,$F1328:$F1334) + IF(ISTEXT($H1329), 0, (RANK($H1329,$H1328:$H1334)/10)) + (RANK($G1329,$G1328:$G1334)/100)))</f>
        <v>TBD</v>
      </c>
      <c r="W1329" s="153"/>
      <c r="Y1329" s="443"/>
    </row>
    <row r="1330" ht="15.75" customHeight="1">
      <c r="A1330" s="134"/>
      <c r="B1330" s="134"/>
      <c r="C1330" s="134"/>
      <c r="D1330" s="556" t="str">
        <f>D1328</f>
        <v/>
      </c>
      <c r="E1330" s="469" t="str">
        <f>$M$1</f>
        <v>Giacomo</v>
      </c>
      <c r="F1330" s="408" t="str">
        <f>IFERROR(AVERAGE(Rankings!$K1330:$R1330), "TBD")</f>
        <v>TBD</v>
      </c>
      <c r="G1330" s="408" t="str">
        <f>IFERROR(_xlfn.STDEV.P(Rankings!$K1330:$R1330), "TBD")</f>
        <v>TBD</v>
      </c>
      <c r="H1330" s="408" t="str">
        <f>IFERROR(AVERAGE(Rankings!$K1330:$L1330, Rankings!$N1330:$R1330), "TBD")</f>
        <v>TBD</v>
      </c>
      <c r="I1330" s="437"/>
      <c r="J1330" s="437"/>
      <c r="K1330" s="430"/>
      <c r="L1330" s="431"/>
      <c r="M1330" s="431"/>
      <c r="N1330" s="555"/>
      <c r="O1330" s="431"/>
      <c r="P1330" s="431"/>
      <c r="Q1330" s="464"/>
      <c r="R1330" s="465"/>
      <c r="S1330" s="466" t="str">
        <f>IF(ISTEXT($V1330), "TBD", RANK(V1330,$V1328:$V1334))</f>
        <v>TBD</v>
      </c>
      <c r="T1330" s="467">
        <v>1.0</v>
      </c>
      <c r="U1330" s="468" t="b">
        <f>Rankings!$S1330=Rankings!$T1330</f>
        <v>0</v>
      </c>
      <c r="V1330" s="553" t="str">
        <f>IF(ISTEXT(Rankings!F1330), "TBD", (RANK($F1330,$F1328:$F1334) + IF(ISTEXT($H1330), 0, (RANK($H1330,$H1328:$H1334)/10)) + (RANK($G1330,$G1328:$G1334)/100)))</f>
        <v>TBD</v>
      </c>
      <c r="W1330" s="153"/>
      <c r="Y1330" s="443"/>
    </row>
    <row r="1331" ht="15.75" customHeight="1">
      <c r="A1331" s="134"/>
      <c r="B1331" s="134"/>
      <c r="C1331" s="134"/>
      <c r="D1331" s="557" t="str">
        <f>D1328</f>
        <v/>
      </c>
      <c r="E1331" s="470" t="str">
        <f>$N$1</f>
        <v>Rosey</v>
      </c>
      <c r="F1331" s="411" t="str">
        <f>IFERROR(AVERAGE(Rankings!$K1331:$R1331), "TBD")</f>
        <v>TBD</v>
      </c>
      <c r="G1331" s="411" t="str">
        <f>IFERROR(_xlfn.STDEV.P(Rankings!$K1331:$R1331), "TBD")</f>
        <v>TBD</v>
      </c>
      <c r="H1331" s="411" t="str">
        <f>IFERROR(AVERAGE(Rankings!$K1331:$M1331, Rankings!$O1331:$R1331), "TBD")</f>
        <v>TBD</v>
      </c>
      <c r="I1331" s="438"/>
      <c r="J1331" s="438"/>
      <c r="K1331" s="430"/>
      <c r="L1331" s="566"/>
      <c r="M1331" s="431"/>
      <c r="N1331" s="555"/>
      <c r="O1331" s="431" t="s">
        <v>1697</v>
      </c>
      <c r="P1331" s="431" t="s">
        <v>1698</v>
      </c>
      <c r="Q1331" s="464" t="s">
        <v>1766</v>
      </c>
      <c r="R1331" s="465"/>
      <c r="S1331" s="466" t="str">
        <f>IF(ISTEXT($V1331), "TBD", RANK(V1331,$V1328:$V1334))</f>
        <v>TBD</v>
      </c>
      <c r="T1331" s="467">
        <v>1.0</v>
      </c>
      <c r="U1331" s="468" t="b">
        <f>Rankings!$S1331=Rankings!$T1331</f>
        <v>0</v>
      </c>
      <c r="V1331" s="553" t="str">
        <f>IF(ISTEXT(Rankings!F1331), "TBD", (RANK($F1331,$F1328:$F1334) + IF(ISTEXT($H1331), 0, (RANK($H1331,$H1328:$H1334)/10)) + (RANK($G1331,$G1328:$G1334)/100)))</f>
        <v>TBD</v>
      </c>
      <c r="W1331" s="153"/>
      <c r="Y1331" s="443"/>
    </row>
    <row r="1332" ht="15.75" customHeight="1">
      <c r="A1332" s="134"/>
      <c r="B1332" s="134"/>
      <c r="C1332" s="134"/>
      <c r="D1332" s="561" t="str">
        <f t="shared" ref="D1332:D1334" si="191">D1328</f>
        <v/>
      </c>
      <c r="E1332" s="471" t="str">
        <f>$O$1</f>
        <v>TTAC</v>
      </c>
      <c r="F1332" s="414" t="str">
        <f>IFERROR(AVERAGE(Rankings!$K1332:$R1332), "TBD")</f>
        <v>TBD</v>
      </c>
      <c r="G1332" s="414" t="str">
        <f>IFERROR(_xlfn.STDEV.P(Rankings!$K1332:$R1332), "TBD")</f>
        <v>TBD</v>
      </c>
      <c r="H1332" s="414" t="str">
        <f>IFERROR(AVERAGE(Rankings!$K1332:$N1332, Rankings!$P1332:$R1332), "TBD")</f>
        <v>TBD</v>
      </c>
      <c r="I1332" s="439"/>
      <c r="J1332" s="439"/>
      <c r="K1332" s="430"/>
      <c r="L1332" s="431"/>
      <c r="M1332" s="431"/>
      <c r="N1332" s="555"/>
      <c r="O1332" s="431"/>
      <c r="P1332" s="431"/>
      <c r="Q1332" s="464"/>
      <c r="R1332" s="465"/>
      <c r="S1332" s="466" t="str">
        <f>IF(ISTEXT($V1332), "TBD", RANK(V1332,$V1328:$V1334))</f>
        <v>TBD</v>
      </c>
      <c r="T1332" s="467">
        <v>1.0</v>
      </c>
      <c r="U1332" s="468" t="b">
        <f>Rankings!$S1332=Rankings!$T1332</f>
        <v>0</v>
      </c>
      <c r="V1332" s="553" t="str">
        <f>IF(ISTEXT(Rankings!F1332), "TBD", (RANK($F1332,$F1328:$F1334) + IF(ISTEXT($H1332), 0, (RANK($H1332,$H1328:$H1334)/10)) + (RANK($G1332,$G1328:$G1334)/100)))</f>
        <v>TBD</v>
      </c>
      <c r="W1332" s="153"/>
      <c r="Y1332" s="443"/>
    </row>
    <row r="1333" ht="15.75" customHeight="1">
      <c r="A1333" s="134"/>
      <c r="B1333" s="134"/>
      <c r="C1333" s="134"/>
      <c r="D1333" s="562" t="str">
        <f t="shared" si="191"/>
        <v/>
      </c>
      <c r="E1333" s="472" t="str">
        <f>$P$1</f>
        <v>Weston</v>
      </c>
      <c r="F1333" s="418" t="str">
        <f>IFERROR(AVERAGE(Rankings!$K1333:$R1333), "TBD")</f>
        <v>TBD</v>
      </c>
      <c r="G1333" s="418" t="str">
        <f>IFERROR(_xlfn.STDEV.P(Rankings!$K1333:$R1333), "TBD")</f>
        <v>TBD</v>
      </c>
      <c r="H1333" s="418" t="str">
        <f>IFERROR(AVERAGE(Rankings!$K1333:$O1333, Rankings!$Q1333:$R1333), "TBD")</f>
        <v>TBD</v>
      </c>
      <c r="I1333" s="440"/>
      <c r="J1333" s="440"/>
      <c r="K1333" s="430"/>
      <c r="L1333" s="431"/>
      <c r="M1333" s="431"/>
      <c r="N1333" s="555"/>
      <c r="O1333" s="431"/>
      <c r="P1333" s="431"/>
      <c r="Q1333" s="464"/>
      <c r="R1333" s="465"/>
      <c r="S1333" s="466" t="str">
        <f>IF(ISTEXT($V1333), "TBD", RANK(V1333,$V1328:$V1334))</f>
        <v>TBD</v>
      </c>
      <c r="T1333" s="467">
        <v>1.0</v>
      </c>
      <c r="U1333" s="468" t="b">
        <f>Rankings!$S1333=Rankings!$T1333</f>
        <v>0</v>
      </c>
      <c r="V1333" s="553" t="str">
        <f>IF(ISTEXT(Rankings!F1333), "TBD", (RANK($F1333,$F1328:$F1334) + IF(ISTEXT($H1333), 0, (RANK($H1333,$H1328:$H1334)/10)) + (RANK($G1333,$G1328:$G1334)/100)))</f>
        <v>TBD</v>
      </c>
      <c r="W1333" s="153"/>
      <c r="Y1333" s="443"/>
    </row>
    <row r="1334" ht="15.75" customHeight="1">
      <c r="A1334" s="189"/>
      <c r="B1334" s="189"/>
      <c r="C1334" s="189"/>
      <c r="D1334" s="563" t="str">
        <f t="shared" si="191"/>
        <v/>
      </c>
      <c r="E1334" s="230" t="str">
        <f>$Q$1</f>
        <v>Flocco</v>
      </c>
      <c r="F1334" s="474" t="str">
        <f>IFERROR(AVERAGE(Rankings!$K1334:$R1334), "TBD")</f>
        <v>TBD</v>
      </c>
      <c r="G1334" s="474" t="str">
        <f>IFERROR(_xlfn.STDEV.P(Rankings!$K1334:$R1334), "TBD")</f>
        <v>TBD</v>
      </c>
      <c r="H1334" s="474" t="str">
        <f>IFERROR(AVERAGE(Rankings!$K1334:$P1334, Rankings!$R1334), "TBD")</f>
        <v>TBD</v>
      </c>
      <c r="I1334" s="475"/>
      <c r="J1334" s="475"/>
      <c r="K1334" s="430"/>
      <c r="L1334" s="431"/>
      <c r="M1334" s="431"/>
      <c r="N1334" s="555"/>
      <c r="O1334" s="431"/>
      <c r="P1334" s="431"/>
      <c r="Q1334" s="464"/>
      <c r="R1334" s="465"/>
      <c r="S1334" s="466" t="str">
        <f>IF(ISTEXT($V1334), "TBD", RANK(V1334,$V1328:$V1334))</f>
        <v>TBD</v>
      </c>
      <c r="T1334" s="467">
        <v>1.0</v>
      </c>
      <c r="U1334" s="468" t="b">
        <f>Rankings!$S1334=Rankings!$T1334</f>
        <v>0</v>
      </c>
      <c r="V1334" s="553" t="str">
        <f>IF(ISTEXT(Rankings!F1334), "TBD", (RANK($F1334,$F1328:$F1334) + IF(ISTEXT($H1334), 0, (RANK($H1334,$H1328:$H1334)/10)) + (RANK($G1334,$G1328:$G1334)/100)))</f>
        <v>TBD</v>
      </c>
      <c r="W1334" s="208"/>
      <c r="Y1334" s="443"/>
    </row>
    <row r="1335" ht="15.75" customHeight="1">
      <c r="A1335" s="103"/>
      <c r="B1335" s="453"/>
      <c r="C1335" s="454" t="str">
        <f t="array" ref="C1335">INDEX(Rankings!$E1335:$E1341, MATCH(1, (Rankings!$D1335:$D1341=$A1335)*(Rankings!$U1335:$U1341=TRUE()), 0))</f>
        <v>#N/A</v>
      </c>
      <c r="D1335" s="551" t="str">
        <f>A1335</f>
        <v/>
      </c>
      <c r="E1335" s="455" t="str">
        <f>$K$1</f>
        <v>Logan</v>
      </c>
      <c r="F1335" s="400" t="str">
        <f>IFERROR(AVERAGE(Rankings!$K1335:$R1335), "TBD")</f>
        <v>TBD</v>
      </c>
      <c r="G1335" s="400" t="str">
        <f>IFERROR(_xlfn.STDEV.P(Rankings!$K1335:$R1335), "TBD")</f>
        <v>TBD</v>
      </c>
      <c r="H1335" s="400" t="str">
        <f>IFERROR(AVERAGE(Rankings!$L1335:$R1335), "TBD")</f>
        <v>TBD</v>
      </c>
      <c r="I1335" s="421"/>
      <c r="J1335" s="421"/>
      <c r="K1335" s="422"/>
      <c r="L1335" s="423"/>
      <c r="M1335" s="423"/>
      <c r="N1335" s="555"/>
      <c r="O1335" s="423"/>
      <c r="P1335" s="423"/>
      <c r="Q1335" s="456"/>
      <c r="R1335" s="457"/>
      <c r="S1335" s="458" t="str">
        <f>IF(ISTEXT($V1335), "TBD", RANK(V1335,$V1335:$V1341))</f>
        <v>TBD</v>
      </c>
      <c r="T1335" s="576">
        <v>1.0</v>
      </c>
      <c r="U1335" s="460" t="b">
        <f>Rankings!$S1335=Rankings!$T1335</f>
        <v>0</v>
      </c>
      <c r="V1335" s="553" t="str">
        <f>IF(ISTEXT(Rankings!F1335), "TBD", (RANK($F1335,$F1335:$F1341) + IF(ISTEXT($H1335), 0, (RANK($H1335,$H1335:$H1341)/10)) + (RANK($G1335,$G1335:$G1341)/100)))</f>
        <v>TBD</v>
      </c>
      <c r="W1335" s="329"/>
      <c r="Y1335" s="443"/>
    </row>
    <row r="1336" ht="15.75" customHeight="1">
      <c r="A1336" s="134"/>
      <c r="B1336" s="134"/>
      <c r="C1336" s="134"/>
      <c r="D1336" s="554" t="str">
        <f>D1335</f>
        <v/>
      </c>
      <c r="E1336" s="463" t="str">
        <f>$L$1</f>
        <v>Parker</v>
      </c>
      <c r="F1336" s="404" t="str">
        <f>IFERROR(AVERAGE(Rankings!$K1336:$R1336), "TBD")</f>
        <v>TBD</v>
      </c>
      <c r="G1336" s="404" t="str">
        <f>IFERROR(_xlfn.STDEV.P(Rankings!$K1336:$R1336), "TBD")</f>
        <v>TBD</v>
      </c>
      <c r="H1336" s="404" t="str">
        <f>IFERROR(AVERAGE(Rankings!$K1336, Rankings!$M1336:$R1336), "TBD")</f>
        <v>TBD</v>
      </c>
      <c r="I1336" s="429"/>
      <c r="J1336" s="429"/>
      <c r="K1336" s="430"/>
      <c r="L1336" s="431"/>
      <c r="M1336" s="431"/>
      <c r="N1336" s="555"/>
      <c r="O1336" s="431"/>
      <c r="P1336" s="431"/>
      <c r="Q1336" s="464"/>
      <c r="R1336" s="465"/>
      <c r="S1336" s="466" t="str">
        <f>IF(ISTEXT($V1336), "TBD", RANK(V1336,$V1335:$V1341))</f>
        <v>TBD</v>
      </c>
      <c r="T1336" s="444">
        <v>1.0</v>
      </c>
      <c r="U1336" s="468" t="b">
        <f>Rankings!$S1336=Rankings!$T1336</f>
        <v>0</v>
      </c>
      <c r="V1336" s="553" t="str">
        <f>IF(ISTEXT(Rankings!F1336), "TBD", (RANK($F1336,$F1335:$F1341) + IF(ISTEXT($H1336), 0, (RANK($H1336,$H1335:$H1341)/10)) + (RANK($G1336,$G1335:$G1341)/100)))</f>
        <v>TBD</v>
      </c>
      <c r="W1336" s="153"/>
      <c r="Y1336" s="443"/>
    </row>
    <row r="1337" ht="15.75" customHeight="1">
      <c r="A1337" s="134"/>
      <c r="B1337" s="134"/>
      <c r="C1337" s="134"/>
      <c r="D1337" s="556" t="str">
        <f>D1335</f>
        <v/>
      </c>
      <c r="E1337" s="469" t="str">
        <f>$M$1</f>
        <v>Giacomo</v>
      </c>
      <c r="F1337" s="408" t="str">
        <f>IFERROR(AVERAGE(Rankings!$K1337:$R1337), "TBD")</f>
        <v>TBD</v>
      </c>
      <c r="G1337" s="408" t="str">
        <f>IFERROR(_xlfn.STDEV.P(Rankings!$K1337:$R1337), "TBD")</f>
        <v>TBD</v>
      </c>
      <c r="H1337" s="408" t="str">
        <f>IFERROR(AVERAGE(Rankings!$K1337:$L1337, Rankings!$N1337:$R1337), "TBD")</f>
        <v>TBD</v>
      </c>
      <c r="I1337" s="437"/>
      <c r="J1337" s="437"/>
      <c r="K1337" s="430"/>
      <c r="L1337" s="431"/>
      <c r="M1337" s="431"/>
      <c r="N1337" s="555"/>
      <c r="O1337" s="431"/>
      <c r="P1337" s="431"/>
      <c r="Q1337" s="464"/>
      <c r="R1337" s="465"/>
      <c r="S1337" s="466" t="str">
        <f>IF(ISTEXT($V1337), "TBD", RANK(V1337,$V1335:$V1341))</f>
        <v>TBD</v>
      </c>
      <c r="T1337" s="467">
        <v>1.0</v>
      </c>
      <c r="U1337" s="468" t="b">
        <f>Rankings!$S1337=Rankings!$T1337</f>
        <v>0</v>
      </c>
      <c r="V1337" s="553" t="str">
        <f>IF(ISTEXT(Rankings!F1337), "TBD", (RANK($F1337,$F1335:$F1341) + IF(ISTEXT($H1337), 0, (RANK($H1337,$H1335:$H1341)/10)) + (RANK($G1337,$G1335:$G1341)/100)))</f>
        <v>TBD</v>
      </c>
      <c r="W1337" s="153"/>
      <c r="Y1337" s="443"/>
    </row>
    <row r="1338" ht="15.75" customHeight="1">
      <c r="A1338" s="134"/>
      <c r="B1338" s="134"/>
      <c r="C1338" s="134"/>
      <c r="D1338" s="557" t="str">
        <f>D1335</f>
        <v/>
      </c>
      <c r="E1338" s="470" t="str">
        <f>$N$1</f>
        <v>Rosey</v>
      </c>
      <c r="F1338" s="411" t="str">
        <f>IFERROR(AVERAGE(Rankings!$K1338:$R1338), "TBD")</f>
        <v>TBD</v>
      </c>
      <c r="G1338" s="411" t="str">
        <f>IFERROR(_xlfn.STDEV.P(Rankings!$K1338:$R1338), "TBD")</f>
        <v>TBD</v>
      </c>
      <c r="H1338" s="411" t="str">
        <f>IFERROR(AVERAGE(Rankings!$K1338:$M1338, Rankings!$O1338:$R1338), "TBD")</f>
        <v>TBD</v>
      </c>
      <c r="I1338" s="438"/>
      <c r="J1338" s="438"/>
      <c r="K1338" s="430"/>
      <c r="L1338" s="566"/>
      <c r="M1338" s="431"/>
      <c r="N1338" s="555"/>
      <c r="O1338" s="431" t="s">
        <v>1697</v>
      </c>
      <c r="P1338" s="431" t="s">
        <v>1698</v>
      </c>
      <c r="Q1338" s="464" t="s">
        <v>1766</v>
      </c>
      <c r="R1338" s="465"/>
      <c r="S1338" s="466" t="str">
        <f>IF(ISTEXT($V1338), "TBD", RANK(V1338,$V1335:$V1341))</f>
        <v>TBD</v>
      </c>
      <c r="T1338" s="467">
        <v>1.0</v>
      </c>
      <c r="U1338" s="468" t="b">
        <f>Rankings!$S1338=Rankings!$T1338</f>
        <v>0</v>
      </c>
      <c r="V1338" s="553" t="str">
        <f>IF(ISTEXT(Rankings!F1338), "TBD", (RANK($F1338,$F1335:$F1341) + IF(ISTEXT($H1338), 0, (RANK($H1338,$H1335:$H1341)/10)) + (RANK($G1338,$G1335:$G1341)/100)))</f>
        <v>TBD</v>
      </c>
      <c r="W1338" s="153"/>
      <c r="Y1338" s="443"/>
    </row>
    <row r="1339" ht="15.75" customHeight="1">
      <c r="A1339" s="134"/>
      <c r="B1339" s="134"/>
      <c r="C1339" s="134"/>
      <c r="D1339" s="561" t="str">
        <f t="shared" ref="D1339:D1341" si="192">D1335</f>
        <v/>
      </c>
      <c r="E1339" s="471" t="str">
        <f>$O$1</f>
        <v>TTAC</v>
      </c>
      <c r="F1339" s="414" t="str">
        <f>IFERROR(AVERAGE(Rankings!$K1339:$R1339), "TBD")</f>
        <v>TBD</v>
      </c>
      <c r="G1339" s="414" t="str">
        <f>IFERROR(_xlfn.STDEV.P(Rankings!$K1339:$R1339), "TBD")</f>
        <v>TBD</v>
      </c>
      <c r="H1339" s="414" t="str">
        <f>IFERROR(AVERAGE(Rankings!$K1339:$N1339, Rankings!$P1339:$R1339), "TBD")</f>
        <v>TBD</v>
      </c>
      <c r="I1339" s="439"/>
      <c r="J1339" s="439"/>
      <c r="K1339" s="430"/>
      <c r="L1339" s="431"/>
      <c r="M1339" s="431"/>
      <c r="N1339" s="555"/>
      <c r="O1339" s="431"/>
      <c r="P1339" s="431"/>
      <c r="Q1339" s="464"/>
      <c r="R1339" s="465"/>
      <c r="S1339" s="466" t="str">
        <f>IF(ISTEXT($V1339), "TBD", RANK(V1339,$V1335:$V1341))</f>
        <v>TBD</v>
      </c>
      <c r="T1339" s="467">
        <v>1.0</v>
      </c>
      <c r="U1339" s="468" t="b">
        <f>Rankings!$S1339=Rankings!$T1339</f>
        <v>0</v>
      </c>
      <c r="V1339" s="553" t="str">
        <f>IF(ISTEXT(Rankings!F1339), "TBD", (RANK($F1339,$F1335:$F1341) + IF(ISTEXT($H1339), 0, (RANK($H1339,$H1335:$H1341)/10)) + (RANK($G1339,$G1335:$G1341)/100)))</f>
        <v>TBD</v>
      </c>
      <c r="W1339" s="153"/>
      <c r="Y1339" s="443"/>
    </row>
    <row r="1340" ht="15.75" customHeight="1">
      <c r="A1340" s="134"/>
      <c r="B1340" s="134"/>
      <c r="C1340" s="134"/>
      <c r="D1340" s="562" t="str">
        <f t="shared" si="192"/>
        <v/>
      </c>
      <c r="E1340" s="472" t="str">
        <f>$P$1</f>
        <v>Weston</v>
      </c>
      <c r="F1340" s="418" t="str">
        <f>IFERROR(AVERAGE(Rankings!$K1340:$R1340), "TBD")</f>
        <v>TBD</v>
      </c>
      <c r="G1340" s="418" t="str">
        <f>IFERROR(_xlfn.STDEV.P(Rankings!$K1340:$R1340), "TBD")</f>
        <v>TBD</v>
      </c>
      <c r="H1340" s="418" t="str">
        <f>IFERROR(AVERAGE(Rankings!$K1340:$O1340, Rankings!$Q1340:$R1340), "TBD")</f>
        <v>TBD</v>
      </c>
      <c r="I1340" s="440"/>
      <c r="J1340" s="440"/>
      <c r="K1340" s="430"/>
      <c r="L1340" s="431"/>
      <c r="M1340" s="431"/>
      <c r="N1340" s="555"/>
      <c r="O1340" s="431"/>
      <c r="P1340" s="431"/>
      <c r="Q1340" s="464"/>
      <c r="R1340" s="465"/>
      <c r="S1340" s="466" t="str">
        <f>IF(ISTEXT($V1340), "TBD", RANK(V1340,$V1335:$V1341))</f>
        <v>TBD</v>
      </c>
      <c r="T1340" s="467">
        <v>1.0</v>
      </c>
      <c r="U1340" s="468" t="b">
        <f>Rankings!$S1340=Rankings!$T1340</f>
        <v>0</v>
      </c>
      <c r="V1340" s="553" t="str">
        <f>IF(ISTEXT(Rankings!F1340), "TBD", (RANK($F1340,$F1335:$F1341) + IF(ISTEXT($H1340), 0, (RANK($H1340,$H1335:$H1341)/10)) + (RANK($G1340,$G1335:$G1341)/100)))</f>
        <v>TBD</v>
      </c>
      <c r="W1340" s="153"/>
      <c r="Y1340" s="443"/>
    </row>
    <row r="1341" ht="15.75" customHeight="1">
      <c r="A1341" s="189"/>
      <c r="B1341" s="189"/>
      <c r="C1341" s="189"/>
      <c r="D1341" s="563" t="str">
        <f t="shared" si="192"/>
        <v/>
      </c>
      <c r="E1341" s="230" t="str">
        <f>$Q$1</f>
        <v>Flocco</v>
      </c>
      <c r="F1341" s="474" t="str">
        <f>IFERROR(AVERAGE(Rankings!$K1341:$R1341), "TBD")</f>
        <v>TBD</v>
      </c>
      <c r="G1341" s="474" t="str">
        <f>IFERROR(_xlfn.STDEV.P(Rankings!$K1341:$R1341), "TBD")</f>
        <v>TBD</v>
      </c>
      <c r="H1341" s="474" t="str">
        <f>IFERROR(AVERAGE(Rankings!$K1341:$P1341, Rankings!$R1341), "TBD")</f>
        <v>TBD</v>
      </c>
      <c r="I1341" s="475"/>
      <c r="J1341" s="475"/>
      <c r="K1341" s="430"/>
      <c r="L1341" s="431"/>
      <c r="M1341" s="431"/>
      <c r="N1341" s="555"/>
      <c r="O1341" s="431"/>
      <c r="P1341" s="431"/>
      <c r="Q1341" s="464"/>
      <c r="R1341" s="465"/>
      <c r="S1341" s="466" t="str">
        <f>IF(ISTEXT($V1341), "TBD", RANK(V1341,$V1335:$V1341))</f>
        <v>TBD</v>
      </c>
      <c r="T1341" s="467">
        <v>1.0</v>
      </c>
      <c r="U1341" s="468" t="b">
        <f>Rankings!$S1341=Rankings!$T1341</f>
        <v>0</v>
      </c>
      <c r="V1341" s="553" t="str">
        <f>IF(ISTEXT(Rankings!F1341), "TBD", (RANK($F1341,$F1335:$F1341) + IF(ISTEXT($H1341), 0, (RANK($H1341,$H1335:$H1341)/10)) + (RANK($G1341,$G1335:$G1341)/100)))</f>
        <v>TBD</v>
      </c>
      <c r="W1341" s="208"/>
      <c r="Y1341" s="443"/>
    </row>
    <row r="1342" ht="15.75" customHeight="1">
      <c r="A1342" s="103"/>
      <c r="B1342" s="453"/>
      <c r="C1342" s="454" t="str">
        <f t="array" ref="C1342">INDEX(Rankings!$E1342:$E1348, MATCH(1, (Rankings!$D1342:$D1348=$A1342)*(Rankings!$U1342:$U1348=TRUE()), 0))</f>
        <v>#N/A</v>
      </c>
      <c r="D1342" s="551" t="str">
        <f>A1342</f>
        <v/>
      </c>
      <c r="E1342" s="455" t="str">
        <f>$K$1</f>
        <v>Logan</v>
      </c>
      <c r="F1342" s="400" t="str">
        <f>IFERROR(AVERAGE(Rankings!$K1342:$R1342), "TBD")</f>
        <v>TBD</v>
      </c>
      <c r="G1342" s="400" t="str">
        <f>IFERROR(_xlfn.STDEV.P(Rankings!$K1342:$R1342), "TBD")</f>
        <v>TBD</v>
      </c>
      <c r="H1342" s="400" t="str">
        <f>IFERROR(AVERAGE(Rankings!$L1342:$R1342), "TBD")</f>
        <v>TBD</v>
      </c>
      <c r="I1342" s="421"/>
      <c r="J1342" s="421"/>
      <c r="K1342" s="422"/>
      <c r="L1342" s="423"/>
      <c r="M1342" s="423"/>
      <c r="N1342" s="555"/>
      <c r="O1342" s="423"/>
      <c r="P1342" s="423"/>
      <c r="Q1342" s="456"/>
      <c r="R1342" s="457"/>
      <c r="S1342" s="458" t="str">
        <f>IF(ISTEXT($V1342), "TBD", RANK(V1342,$V1342:$V1348))</f>
        <v>TBD</v>
      </c>
      <c r="T1342" s="576">
        <v>1.0</v>
      </c>
      <c r="U1342" s="460" t="b">
        <f>Rankings!$S1342=Rankings!$T1342</f>
        <v>0</v>
      </c>
      <c r="V1342" s="553" t="str">
        <f>IF(ISTEXT(Rankings!F1342), "TBD", (RANK($F1342,$F1342:$F1348) + IF(ISTEXT($H1342), 0, (RANK($H1342,$H1342:$H1348)/10)) + (RANK($G1342,$G1342:$G1348)/100)))</f>
        <v>TBD</v>
      </c>
      <c r="W1342" s="329"/>
      <c r="Y1342" s="443"/>
    </row>
    <row r="1343" ht="15.75" customHeight="1">
      <c r="A1343" s="134"/>
      <c r="B1343" s="134"/>
      <c r="C1343" s="134"/>
      <c r="D1343" s="554" t="str">
        <f>D1342</f>
        <v/>
      </c>
      <c r="E1343" s="463" t="str">
        <f>$L$1</f>
        <v>Parker</v>
      </c>
      <c r="F1343" s="404" t="str">
        <f>IFERROR(AVERAGE(Rankings!$K1343:$R1343), "TBD")</f>
        <v>TBD</v>
      </c>
      <c r="G1343" s="404" t="str">
        <f>IFERROR(_xlfn.STDEV.P(Rankings!$K1343:$R1343), "TBD")</f>
        <v>TBD</v>
      </c>
      <c r="H1343" s="404" t="str">
        <f>IFERROR(AVERAGE(Rankings!$K1343, Rankings!$M1343:$R1343), "TBD")</f>
        <v>TBD</v>
      </c>
      <c r="I1343" s="429"/>
      <c r="J1343" s="429"/>
      <c r="K1343" s="430"/>
      <c r="L1343" s="431"/>
      <c r="M1343" s="431"/>
      <c r="N1343" s="555"/>
      <c r="O1343" s="431"/>
      <c r="P1343" s="431"/>
      <c r="Q1343" s="464"/>
      <c r="R1343" s="465"/>
      <c r="S1343" s="466" t="str">
        <f>IF(ISTEXT($V1343), "TBD", RANK(V1343,$V1342:$V1348))</f>
        <v>TBD</v>
      </c>
      <c r="T1343" s="444">
        <v>1.0</v>
      </c>
      <c r="U1343" s="468" t="b">
        <f>Rankings!$S1343=Rankings!$T1343</f>
        <v>0</v>
      </c>
      <c r="V1343" s="553" t="str">
        <f>IF(ISTEXT(Rankings!F1343), "TBD", (RANK($F1343,$F1342:$F1348) + IF(ISTEXT($H1343), 0, (RANK($H1343,$H1342:$H1348)/10)) + (RANK($G1343,$G1342:$G1348)/100)))</f>
        <v>TBD</v>
      </c>
      <c r="W1343" s="153"/>
      <c r="Y1343" s="443"/>
    </row>
    <row r="1344" ht="15.75" customHeight="1">
      <c r="A1344" s="134"/>
      <c r="B1344" s="134"/>
      <c r="C1344" s="134"/>
      <c r="D1344" s="556" t="str">
        <f>D1342</f>
        <v/>
      </c>
      <c r="E1344" s="469" t="str">
        <f>$M$1</f>
        <v>Giacomo</v>
      </c>
      <c r="F1344" s="408" t="str">
        <f>IFERROR(AVERAGE(Rankings!$K1344:$R1344), "TBD")</f>
        <v>TBD</v>
      </c>
      <c r="G1344" s="408" t="str">
        <f>IFERROR(_xlfn.STDEV.P(Rankings!$K1344:$R1344), "TBD")</f>
        <v>TBD</v>
      </c>
      <c r="H1344" s="408" t="str">
        <f>IFERROR(AVERAGE(Rankings!$K1344:$L1344, Rankings!$N1344:$R1344), "TBD")</f>
        <v>TBD</v>
      </c>
      <c r="I1344" s="437"/>
      <c r="J1344" s="437"/>
      <c r="K1344" s="430"/>
      <c r="L1344" s="431"/>
      <c r="M1344" s="431"/>
      <c r="N1344" s="555"/>
      <c r="O1344" s="431"/>
      <c r="P1344" s="431"/>
      <c r="Q1344" s="464"/>
      <c r="R1344" s="465"/>
      <c r="S1344" s="466" t="str">
        <f>IF(ISTEXT($V1344), "TBD", RANK(V1344,$V1342:$V1348))</f>
        <v>TBD</v>
      </c>
      <c r="T1344" s="467">
        <v>1.0</v>
      </c>
      <c r="U1344" s="468" t="b">
        <f>Rankings!$S1344=Rankings!$T1344</f>
        <v>0</v>
      </c>
      <c r="V1344" s="553" t="str">
        <f>IF(ISTEXT(Rankings!F1344), "TBD", (RANK($F1344,$F1342:$F1348) + IF(ISTEXT($H1344), 0, (RANK($H1344,$H1342:$H1348)/10)) + (RANK($G1344,$G1342:$G1348)/100)))</f>
        <v>TBD</v>
      </c>
      <c r="W1344" s="153"/>
      <c r="Y1344" s="443"/>
    </row>
    <row r="1345" ht="15.75" customHeight="1">
      <c r="A1345" s="134"/>
      <c r="B1345" s="134"/>
      <c r="C1345" s="134"/>
      <c r="D1345" s="557" t="str">
        <f>D1342</f>
        <v/>
      </c>
      <c r="E1345" s="470" t="str">
        <f>$N$1</f>
        <v>Rosey</v>
      </c>
      <c r="F1345" s="411" t="str">
        <f>IFERROR(AVERAGE(Rankings!$K1345:$R1345), "TBD")</f>
        <v>TBD</v>
      </c>
      <c r="G1345" s="411" t="str">
        <f>IFERROR(_xlfn.STDEV.P(Rankings!$K1345:$R1345), "TBD")</f>
        <v>TBD</v>
      </c>
      <c r="H1345" s="411" t="str">
        <f>IFERROR(AVERAGE(Rankings!$K1345:$M1345, Rankings!$O1345:$R1345), "TBD")</f>
        <v>TBD</v>
      </c>
      <c r="I1345" s="438"/>
      <c r="J1345" s="438"/>
      <c r="K1345" s="430"/>
      <c r="L1345" s="566"/>
      <c r="M1345" s="431"/>
      <c r="N1345" s="555"/>
      <c r="O1345" s="431" t="s">
        <v>1697</v>
      </c>
      <c r="P1345" s="431" t="s">
        <v>1698</v>
      </c>
      <c r="Q1345" s="464" t="s">
        <v>1766</v>
      </c>
      <c r="R1345" s="465"/>
      <c r="S1345" s="466" t="str">
        <f>IF(ISTEXT($V1345), "TBD", RANK(V1345,$V1342:$V1348))</f>
        <v>TBD</v>
      </c>
      <c r="T1345" s="467">
        <v>1.0</v>
      </c>
      <c r="U1345" s="468" t="b">
        <f>Rankings!$S1345=Rankings!$T1345</f>
        <v>0</v>
      </c>
      <c r="V1345" s="553" t="str">
        <f>IF(ISTEXT(Rankings!F1345), "TBD", (RANK($F1345,$F1342:$F1348) + IF(ISTEXT($H1345), 0, (RANK($H1345,$H1342:$H1348)/10)) + (RANK($G1345,$G1342:$G1348)/100)))</f>
        <v>TBD</v>
      </c>
      <c r="W1345" s="153"/>
      <c r="Y1345" s="443"/>
    </row>
    <row r="1346" ht="15.75" customHeight="1">
      <c r="A1346" s="134"/>
      <c r="B1346" s="134"/>
      <c r="C1346" s="134"/>
      <c r="D1346" s="561" t="str">
        <f t="shared" ref="D1346:D1348" si="193">D1342</f>
        <v/>
      </c>
      <c r="E1346" s="471" t="str">
        <f>$O$1</f>
        <v>TTAC</v>
      </c>
      <c r="F1346" s="414" t="str">
        <f>IFERROR(AVERAGE(Rankings!$K1346:$R1346), "TBD")</f>
        <v>TBD</v>
      </c>
      <c r="G1346" s="414" t="str">
        <f>IFERROR(_xlfn.STDEV.P(Rankings!$K1346:$R1346), "TBD")</f>
        <v>TBD</v>
      </c>
      <c r="H1346" s="414" t="str">
        <f>IFERROR(AVERAGE(Rankings!$K1346:$N1346, Rankings!$P1346:$R1346), "TBD")</f>
        <v>TBD</v>
      </c>
      <c r="I1346" s="439"/>
      <c r="J1346" s="439"/>
      <c r="K1346" s="430"/>
      <c r="L1346" s="431"/>
      <c r="M1346" s="431"/>
      <c r="N1346" s="555"/>
      <c r="O1346" s="431"/>
      <c r="P1346" s="431"/>
      <c r="Q1346" s="464"/>
      <c r="R1346" s="465"/>
      <c r="S1346" s="466" t="str">
        <f>IF(ISTEXT($V1346), "TBD", RANK(V1346,$V1342:$V1348))</f>
        <v>TBD</v>
      </c>
      <c r="T1346" s="467">
        <v>1.0</v>
      </c>
      <c r="U1346" s="468" t="b">
        <f>Rankings!$S1346=Rankings!$T1346</f>
        <v>0</v>
      </c>
      <c r="V1346" s="553" t="str">
        <f>IF(ISTEXT(Rankings!F1346), "TBD", (RANK($F1346,$F1342:$F1348) + IF(ISTEXT($H1346), 0, (RANK($H1346,$H1342:$H1348)/10)) + (RANK($G1346,$G1342:$G1348)/100)))</f>
        <v>TBD</v>
      </c>
      <c r="W1346" s="153"/>
      <c r="Y1346" s="443"/>
    </row>
    <row r="1347" ht="15.75" customHeight="1">
      <c r="A1347" s="134"/>
      <c r="B1347" s="134"/>
      <c r="C1347" s="134"/>
      <c r="D1347" s="562" t="str">
        <f t="shared" si="193"/>
        <v/>
      </c>
      <c r="E1347" s="472" t="str">
        <f>$P$1</f>
        <v>Weston</v>
      </c>
      <c r="F1347" s="418" t="str">
        <f>IFERROR(AVERAGE(Rankings!$K1347:$R1347), "TBD")</f>
        <v>TBD</v>
      </c>
      <c r="G1347" s="418" t="str">
        <f>IFERROR(_xlfn.STDEV.P(Rankings!$K1347:$R1347), "TBD")</f>
        <v>TBD</v>
      </c>
      <c r="H1347" s="418" t="str">
        <f>IFERROR(AVERAGE(Rankings!$K1347:$O1347, Rankings!$Q1347:$R1347), "TBD")</f>
        <v>TBD</v>
      </c>
      <c r="I1347" s="440"/>
      <c r="J1347" s="440"/>
      <c r="K1347" s="430"/>
      <c r="L1347" s="431"/>
      <c r="M1347" s="431"/>
      <c r="N1347" s="555"/>
      <c r="O1347" s="431"/>
      <c r="P1347" s="431"/>
      <c r="Q1347" s="464"/>
      <c r="R1347" s="465"/>
      <c r="S1347" s="466" t="str">
        <f>IF(ISTEXT($V1347), "TBD", RANK(V1347,$V1342:$V1348))</f>
        <v>TBD</v>
      </c>
      <c r="T1347" s="467">
        <v>1.0</v>
      </c>
      <c r="U1347" s="468" t="b">
        <f>Rankings!$S1347=Rankings!$T1347</f>
        <v>0</v>
      </c>
      <c r="V1347" s="553" t="str">
        <f>IF(ISTEXT(Rankings!F1347), "TBD", (RANK($F1347,$F1342:$F1348) + IF(ISTEXT($H1347), 0, (RANK($H1347,$H1342:$H1348)/10)) + (RANK($G1347,$G1342:$G1348)/100)))</f>
        <v>TBD</v>
      </c>
      <c r="W1347" s="153"/>
      <c r="Y1347" s="443"/>
    </row>
    <row r="1348" ht="15.75" customHeight="1">
      <c r="A1348" s="189"/>
      <c r="B1348" s="189"/>
      <c r="C1348" s="189"/>
      <c r="D1348" s="588" t="str">
        <f t="shared" si="193"/>
        <v/>
      </c>
      <c r="E1348" s="131" t="str">
        <f>$Q$1</f>
        <v>Flocco</v>
      </c>
      <c r="F1348" s="589" t="str">
        <f>IFERROR(AVERAGE(Rankings!$K1348:$R1348), "TBD")</f>
        <v>TBD</v>
      </c>
      <c r="G1348" s="589" t="str">
        <f>IFERROR(_xlfn.STDEV.P(Rankings!$K1348:$R1348), "TBD")</f>
        <v>TBD</v>
      </c>
      <c r="H1348" s="589" t="str">
        <f>IFERROR(AVERAGE(Rankings!$K1348:$P1348, Rankings!$R1348), "TBD")</f>
        <v>TBD</v>
      </c>
      <c r="I1348" s="590"/>
      <c r="J1348" s="590"/>
      <c r="K1348" s="601"/>
      <c r="L1348" s="602"/>
      <c r="M1348" s="602"/>
      <c r="N1348" s="577"/>
      <c r="O1348" s="602"/>
      <c r="P1348" s="602"/>
      <c r="Q1348" s="603"/>
      <c r="R1348" s="604"/>
      <c r="S1348" s="605" t="str">
        <f>IF(ISTEXT($V1348), "TBD", RANK(V1348,$V1342:$V1348))</f>
        <v>TBD</v>
      </c>
      <c r="T1348" s="467">
        <v>1.0</v>
      </c>
      <c r="U1348" s="468" t="b">
        <f>Rankings!$S1348=Rankings!$T1348</f>
        <v>0</v>
      </c>
      <c r="V1348" s="553" t="str">
        <f>IF(ISTEXT(Rankings!F1348), "TBD", (RANK($F1348,$F1342:$F1348) + IF(ISTEXT($H1348), 0, (RANK($H1348,$H1342:$H1348)/10)) + (RANK($G1348,$G1342:$G1348)/100)))</f>
        <v>TBD</v>
      </c>
      <c r="W1348" s="208"/>
      <c r="Y1348" s="443"/>
    </row>
    <row r="1349" ht="15.75" customHeight="1">
      <c r="A1349" s="606"/>
      <c r="B1349" s="607"/>
      <c r="C1349" s="608"/>
      <c r="D1349" s="609"/>
      <c r="E1349" s="610"/>
      <c r="F1349" s="611"/>
      <c r="G1349" s="611"/>
      <c r="H1349" s="611"/>
      <c r="I1349" s="612"/>
      <c r="J1349" s="612"/>
      <c r="K1349" s="613"/>
      <c r="L1349" s="613"/>
      <c r="M1349" s="613"/>
      <c r="N1349" s="610"/>
      <c r="O1349" s="613"/>
      <c r="P1349" s="613"/>
      <c r="Q1349" s="613"/>
      <c r="R1349" s="614"/>
      <c r="S1349" s="610"/>
      <c r="T1349" s="613"/>
      <c r="U1349" s="615"/>
      <c r="V1349" s="610"/>
      <c r="W1349" s="616"/>
      <c r="Y1349" s="443"/>
    </row>
    <row r="1350" ht="15.75" customHeight="1">
      <c r="D1350" s="617"/>
      <c r="E1350" s="553"/>
      <c r="F1350" s="618"/>
      <c r="G1350" s="618"/>
      <c r="H1350" s="618"/>
      <c r="I1350" s="619"/>
      <c r="J1350" s="619"/>
      <c r="K1350" s="603"/>
      <c r="L1350" s="603"/>
      <c r="M1350" s="603"/>
      <c r="N1350" s="553"/>
      <c r="O1350" s="603"/>
      <c r="P1350" s="603"/>
      <c r="Q1350" s="603"/>
      <c r="R1350" s="620"/>
      <c r="S1350" s="553"/>
      <c r="T1350" s="603"/>
      <c r="U1350" s="621"/>
      <c r="V1350" s="553"/>
      <c r="Y1350" s="443"/>
    </row>
    <row r="1351" ht="15.75" customHeight="1">
      <c r="D1351" s="617"/>
      <c r="E1351" s="603"/>
      <c r="F1351" s="618"/>
      <c r="G1351" s="618"/>
      <c r="H1351" s="618"/>
      <c r="I1351" s="619"/>
      <c r="J1351" s="619"/>
      <c r="K1351" s="603"/>
      <c r="L1351" s="603"/>
      <c r="M1351" s="603"/>
      <c r="N1351" s="553"/>
      <c r="O1351" s="603"/>
      <c r="P1351" s="603"/>
      <c r="Q1351" s="603"/>
      <c r="R1351" s="620"/>
      <c r="S1351" s="553"/>
      <c r="T1351" s="553"/>
      <c r="U1351" s="621"/>
      <c r="V1351" s="553"/>
      <c r="Y1351" s="443"/>
    </row>
    <row r="1352" ht="15.75" customHeight="1">
      <c r="D1352" s="617"/>
      <c r="E1352" s="131"/>
      <c r="F1352" s="618"/>
      <c r="G1352" s="618"/>
      <c r="H1352" s="618"/>
      <c r="I1352" s="619"/>
      <c r="J1352" s="619"/>
      <c r="K1352" s="603"/>
      <c r="L1352" s="603"/>
      <c r="M1352" s="603"/>
      <c r="N1352" s="553"/>
      <c r="O1352" s="603"/>
      <c r="P1352" s="603"/>
      <c r="Q1352" s="603"/>
      <c r="R1352" s="620"/>
      <c r="S1352" s="553"/>
      <c r="T1352" s="553"/>
      <c r="U1352" s="621"/>
      <c r="V1352" s="553"/>
      <c r="Y1352" s="443"/>
    </row>
    <row r="1353" ht="15.75" customHeight="1">
      <c r="D1353" s="617"/>
      <c r="E1353" s="131"/>
      <c r="F1353" s="618"/>
      <c r="G1353" s="618"/>
      <c r="H1353" s="618"/>
      <c r="I1353" s="619"/>
      <c r="J1353" s="619"/>
      <c r="K1353" s="603"/>
      <c r="L1353" s="603"/>
      <c r="M1353" s="603"/>
      <c r="N1353" s="553"/>
      <c r="O1353" s="603"/>
      <c r="P1353" s="603"/>
      <c r="Q1353" s="603"/>
      <c r="R1353" s="620"/>
      <c r="S1353" s="553"/>
      <c r="T1353" s="553"/>
      <c r="U1353" s="621"/>
      <c r="V1353" s="553"/>
      <c r="Y1353" s="443"/>
    </row>
    <row r="1354" ht="15.75" customHeight="1">
      <c r="D1354" s="617"/>
      <c r="E1354" s="131"/>
      <c r="F1354" s="618"/>
      <c r="G1354" s="618"/>
      <c r="H1354" s="618"/>
      <c r="I1354" s="619"/>
      <c r="J1354" s="619"/>
      <c r="K1354" s="603"/>
      <c r="L1354" s="603"/>
      <c r="M1354" s="603"/>
      <c r="N1354" s="553"/>
      <c r="O1354" s="603"/>
      <c r="P1354" s="603"/>
      <c r="Q1354" s="603"/>
      <c r="R1354" s="620"/>
      <c r="S1354" s="553"/>
      <c r="T1354" s="553"/>
      <c r="U1354" s="621"/>
      <c r="V1354" s="553"/>
      <c r="Y1354" s="443"/>
    </row>
    <row r="1355" ht="15.75" customHeight="1">
      <c r="D1355" s="617"/>
      <c r="E1355" s="131"/>
      <c r="F1355" s="618"/>
      <c r="G1355" s="618"/>
      <c r="H1355" s="618"/>
      <c r="I1355" s="619"/>
      <c r="J1355" s="619"/>
      <c r="K1355" s="603"/>
      <c r="L1355" s="603"/>
      <c r="M1355" s="603"/>
      <c r="N1355" s="553"/>
      <c r="O1355" s="603"/>
      <c r="P1355" s="603"/>
      <c r="Q1355" s="603"/>
      <c r="R1355" s="620"/>
      <c r="S1355" s="553"/>
      <c r="T1355" s="553"/>
      <c r="U1355" s="621"/>
      <c r="V1355" s="553"/>
      <c r="Y1355" s="443"/>
    </row>
    <row r="1356" ht="15.75" customHeight="1">
      <c r="A1356" s="622"/>
      <c r="B1356" s="623"/>
      <c r="C1356" s="490"/>
      <c r="D1356" s="617"/>
      <c r="E1356" s="131"/>
      <c r="F1356" s="618"/>
      <c r="G1356" s="618"/>
      <c r="H1356" s="618"/>
      <c r="I1356" s="619"/>
      <c r="J1356" s="619"/>
      <c r="K1356" s="603"/>
      <c r="L1356" s="603"/>
      <c r="M1356" s="603"/>
      <c r="N1356" s="553"/>
      <c r="O1356" s="603"/>
      <c r="P1356" s="603"/>
      <c r="Q1356" s="603"/>
      <c r="R1356" s="620"/>
      <c r="S1356" s="553"/>
      <c r="T1356" s="553"/>
      <c r="U1356" s="621"/>
      <c r="V1356" s="553"/>
      <c r="W1356" s="624"/>
      <c r="Y1356" s="443"/>
    </row>
    <row r="1357" ht="15.75" customHeight="1">
      <c r="D1357" s="617"/>
      <c r="E1357" s="131"/>
      <c r="F1357" s="618"/>
      <c r="G1357" s="618"/>
      <c r="H1357" s="618"/>
      <c r="I1357" s="619"/>
      <c r="J1357" s="619"/>
      <c r="K1357" s="603"/>
      <c r="L1357" s="603"/>
      <c r="M1357" s="603"/>
      <c r="N1357" s="553"/>
      <c r="O1357" s="603"/>
      <c r="P1357" s="603"/>
      <c r="Q1357" s="603"/>
      <c r="R1357" s="620"/>
      <c r="S1357" s="553"/>
      <c r="T1357" s="553"/>
      <c r="U1357" s="621"/>
      <c r="V1357" s="553"/>
      <c r="Y1357" s="443"/>
    </row>
    <row r="1358" ht="15.75" customHeight="1">
      <c r="D1358" s="617"/>
      <c r="E1358" s="131"/>
      <c r="F1358" s="618"/>
      <c r="G1358" s="618"/>
      <c r="H1358" s="618"/>
      <c r="I1358" s="619"/>
      <c r="J1358" s="619"/>
      <c r="K1358" s="603"/>
      <c r="L1358" s="603"/>
      <c r="M1358" s="603"/>
      <c r="N1358" s="553"/>
      <c r="O1358" s="603"/>
      <c r="P1358" s="603"/>
      <c r="Q1358" s="603"/>
      <c r="R1358" s="620"/>
      <c r="S1358" s="553"/>
      <c r="T1358" s="553"/>
      <c r="U1358" s="621"/>
      <c r="V1358" s="553"/>
      <c r="Y1358" s="443"/>
    </row>
    <row r="1359" ht="15.75" customHeight="1">
      <c r="D1359" s="617"/>
      <c r="E1359" s="131"/>
      <c r="F1359" s="618"/>
      <c r="G1359" s="618"/>
      <c r="H1359" s="618"/>
      <c r="I1359" s="619"/>
      <c r="J1359" s="619"/>
      <c r="K1359" s="603"/>
      <c r="L1359" s="603"/>
      <c r="M1359" s="603"/>
      <c r="N1359" s="553"/>
      <c r="O1359" s="603"/>
      <c r="P1359" s="603"/>
      <c r="Q1359" s="603"/>
      <c r="R1359" s="620"/>
      <c r="S1359" s="553"/>
      <c r="T1359" s="553"/>
      <c r="U1359" s="621"/>
      <c r="V1359" s="553"/>
      <c r="Y1359" s="443"/>
    </row>
    <row r="1360" ht="15.75" customHeight="1">
      <c r="D1360" s="617"/>
      <c r="E1360" s="131"/>
      <c r="F1360" s="618"/>
      <c r="G1360" s="618"/>
      <c r="H1360" s="618"/>
      <c r="I1360" s="619"/>
      <c r="J1360" s="619"/>
      <c r="K1360" s="603"/>
      <c r="L1360" s="603"/>
      <c r="M1360" s="603"/>
      <c r="N1360" s="553"/>
      <c r="O1360" s="603"/>
      <c r="P1360" s="603"/>
      <c r="Q1360" s="603"/>
      <c r="R1360" s="620"/>
      <c r="S1360" s="553"/>
      <c r="T1360" s="553"/>
      <c r="U1360" s="621"/>
      <c r="V1360" s="553"/>
      <c r="Y1360" s="443"/>
    </row>
    <row r="1361" ht="15.75" customHeight="1">
      <c r="D1361" s="617"/>
      <c r="E1361" s="131"/>
      <c r="F1361" s="618"/>
      <c r="G1361" s="618"/>
      <c r="H1361" s="618"/>
      <c r="I1361" s="619"/>
      <c r="J1361" s="619"/>
      <c r="K1361" s="603"/>
      <c r="L1361" s="603"/>
      <c r="M1361" s="603"/>
      <c r="N1361" s="553"/>
      <c r="O1361" s="603"/>
      <c r="P1361" s="603"/>
      <c r="Q1361" s="603"/>
      <c r="R1361" s="620"/>
      <c r="S1361" s="553"/>
      <c r="T1361" s="553"/>
      <c r="U1361" s="621"/>
      <c r="V1361" s="553"/>
      <c r="Y1361" s="443"/>
    </row>
    <row r="1362" ht="15.75" customHeight="1">
      <c r="D1362" s="617"/>
      <c r="E1362" s="131"/>
      <c r="F1362" s="618"/>
      <c r="G1362" s="618"/>
      <c r="H1362" s="618"/>
      <c r="I1362" s="619"/>
      <c r="J1362" s="619"/>
      <c r="K1362" s="603"/>
      <c r="L1362" s="603"/>
      <c r="M1362" s="603"/>
      <c r="N1362" s="553"/>
      <c r="O1362" s="603"/>
      <c r="P1362" s="603"/>
      <c r="Q1362" s="603"/>
      <c r="R1362" s="620"/>
      <c r="S1362" s="553"/>
      <c r="T1362" s="553"/>
      <c r="U1362" s="621"/>
      <c r="V1362" s="553"/>
      <c r="Y1362" s="443"/>
    </row>
    <row r="1363" ht="15.75" customHeight="1">
      <c r="A1363" s="622"/>
      <c r="B1363" s="623"/>
      <c r="C1363" s="490"/>
      <c r="D1363" s="617"/>
      <c r="E1363" s="131"/>
      <c r="F1363" s="618"/>
      <c r="G1363" s="618"/>
      <c r="H1363" s="618"/>
      <c r="I1363" s="619"/>
      <c r="J1363" s="619"/>
      <c r="K1363" s="603"/>
      <c r="L1363" s="603"/>
      <c r="M1363" s="603"/>
      <c r="N1363" s="553"/>
      <c r="O1363" s="603"/>
      <c r="P1363" s="603"/>
      <c r="Q1363" s="603"/>
      <c r="R1363" s="620"/>
      <c r="S1363" s="553"/>
      <c r="T1363" s="553"/>
      <c r="U1363" s="621"/>
      <c r="V1363" s="553"/>
      <c r="W1363" s="624"/>
      <c r="Y1363" s="443"/>
    </row>
    <row r="1364" ht="15.75" customHeight="1">
      <c r="D1364" s="617"/>
      <c r="E1364" s="131"/>
      <c r="F1364" s="618"/>
      <c r="G1364" s="618"/>
      <c r="H1364" s="618"/>
      <c r="I1364" s="619"/>
      <c r="J1364" s="619"/>
      <c r="K1364" s="603"/>
      <c r="L1364" s="603"/>
      <c r="M1364" s="603"/>
      <c r="N1364" s="553"/>
      <c r="O1364" s="603"/>
      <c r="P1364" s="603"/>
      <c r="Q1364" s="603"/>
      <c r="R1364" s="620"/>
      <c r="S1364" s="553"/>
      <c r="T1364" s="553"/>
      <c r="U1364" s="621"/>
      <c r="V1364" s="553"/>
      <c r="Y1364" s="443"/>
    </row>
    <row r="1365" ht="15.75" customHeight="1">
      <c r="D1365" s="617"/>
      <c r="E1365" s="131"/>
      <c r="F1365" s="618"/>
      <c r="G1365" s="618"/>
      <c r="H1365" s="618"/>
      <c r="I1365" s="619"/>
      <c r="J1365" s="619"/>
      <c r="K1365" s="603"/>
      <c r="L1365" s="603"/>
      <c r="M1365" s="603"/>
      <c r="N1365" s="553"/>
      <c r="O1365" s="603"/>
      <c r="P1365" s="603"/>
      <c r="Q1365" s="603"/>
      <c r="R1365" s="620"/>
      <c r="S1365" s="553"/>
      <c r="T1365" s="553"/>
      <c r="U1365" s="621"/>
      <c r="V1365" s="553"/>
      <c r="Y1365" s="443"/>
    </row>
    <row r="1366" ht="15.75" customHeight="1">
      <c r="D1366" s="617"/>
      <c r="E1366" s="131"/>
      <c r="F1366" s="618"/>
      <c r="G1366" s="618"/>
      <c r="H1366" s="618"/>
      <c r="I1366" s="619"/>
      <c r="J1366" s="619"/>
      <c r="K1366" s="603"/>
      <c r="L1366" s="603"/>
      <c r="M1366" s="603"/>
      <c r="N1366" s="553"/>
      <c r="O1366" s="603"/>
      <c r="P1366" s="603"/>
      <c r="Q1366" s="603"/>
      <c r="R1366" s="620"/>
      <c r="S1366" s="553"/>
      <c r="T1366" s="553"/>
      <c r="U1366" s="621"/>
      <c r="V1366" s="553"/>
      <c r="Y1366" s="443"/>
    </row>
    <row r="1367" ht="15.75" customHeight="1">
      <c r="D1367" s="617"/>
      <c r="E1367" s="131"/>
      <c r="F1367" s="618"/>
      <c r="G1367" s="618"/>
      <c r="H1367" s="618"/>
      <c r="I1367" s="619"/>
      <c r="J1367" s="619"/>
      <c r="K1367" s="603"/>
      <c r="L1367" s="603"/>
      <c r="M1367" s="603"/>
      <c r="N1367" s="553"/>
      <c r="O1367" s="603"/>
      <c r="P1367" s="603"/>
      <c r="Q1367" s="603"/>
      <c r="R1367" s="620"/>
      <c r="S1367" s="553"/>
      <c r="T1367" s="553"/>
      <c r="U1367" s="621"/>
      <c r="V1367" s="553"/>
      <c r="Y1367" s="443"/>
    </row>
    <row r="1368" ht="15.75" customHeight="1">
      <c r="D1368" s="617"/>
      <c r="E1368" s="131"/>
      <c r="F1368" s="618"/>
      <c r="G1368" s="618"/>
      <c r="H1368" s="618"/>
      <c r="I1368" s="619"/>
      <c r="J1368" s="619"/>
      <c r="K1368" s="603"/>
      <c r="L1368" s="603"/>
      <c r="M1368" s="603"/>
      <c r="N1368" s="553"/>
      <c r="O1368" s="603"/>
      <c r="P1368" s="603"/>
      <c r="Q1368" s="603"/>
      <c r="R1368" s="620"/>
      <c r="S1368" s="553"/>
      <c r="T1368" s="553"/>
      <c r="U1368" s="621"/>
      <c r="V1368" s="553"/>
      <c r="Y1368" s="443"/>
    </row>
    <row r="1369" ht="15.75" customHeight="1">
      <c r="D1369" s="617"/>
      <c r="E1369" s="131"/>
      <c r="F1369" s="618"/>
      <c r="G1369" s="618"/>
      <c r="H1369" s="618"/>
      <c r="I1369" s="619"/>
      <c r="J1369" s="619"/>
      <c r="K1369" s="603"/>
      <c r="L1369" s="603"/>
      <c r="M1369" s="603"/>
      <c r="N1369" s="553"/>
      <c r="O1369" s="603"/>
      <c r="P1369" s="603"/>
      <c r="Q1369" s="603"/>
      <c r="R1369" s="620"/>
      <c r="S1369" s="553"/>
      <c r="T1369" s="553"/>
      <c r="U1369" s="621"/>
      <c r="V1369" s="553"/>
      <c r="Y1369" s="443"/>
    </row>
    <row r="1370" ht="15.75" customHeight="1">
      <c r="A1370" s="622"/>
      <c r="B1370" s="623"/>
      <c r="C1370" s="490"/>
      <c r="D1370" s="617"/>
      <c r="E1370" s="131"/>
      <c r="F1370" s="618"/>
      <c r="G1370" s="618"/>
      <c r="H1370" s="618"/>
      <c r="I1370" s="619"/>
      <c r="J1370" s="619"/>
      <c r="K1370" s="603"/>
      <c r="L1370" s="603"/>
      <c r="M1370" s="603"/>
      <c r="N1370" s="553"/>
      <c r="O1370" s="603"/>
      <c r="P1370" s="603"/>
      <c r="Q1370" s="603"/>
      <c r="R1370" s="620"/>
      <c r="S1370" s="553"/>
      <c r="T1370" s="553"/>
      <c r="U1370" s="621"/>
      <c r="V1370" s="553"/>
      <c r="W1370" s="624"/>
      <c r="Y1370" s="443"/>
    </row>
    <row r="1371" ht="15.75" customHeight="1">
      <c r="A1371" s="622"/>
      <c r="B1371" s="623"/>
      <c r="C1371" s="490"/>
      <c r="D1371" s="617"/>
      <c r="E1371" s="131"/>
      <c r="F1371" s="618"/>
      <c r="G1371" s="618"/>
      <c r="H1371" s="618"/>
      <c r="I1371" s="619"/>
      <c r="J1371" s="619"/>
      <c r="K1371" s="603"/>
      <c r="L1371" s="603"/>
      <c r="M1371" s="603"/>
      <c r="N1371" s="553"/>
      <c r="O1371" s="603"/>
      <c r="P1371" s="603"/>
      <c r="Q1371" s="603"/>
      <c r="R1371" s="620"/>
      <c r="S1371" s="553"/>
      <c r="T1371" s="553"/>
      <c r="U1371" s="621"/>
      <c r="V1371" s="553"/>
      <c r="W1371" s="624"/>
      <c r="Y1371" s="443"/>
    </row>
    <row r="1372" ht="15.75" customHeight="1">
      <c r="A1372" s="622"/>
      <c r="B1372" s="623"/>
      <c r="C1372" s="490"/>
      <c r="D1372" s="617"/>
      <c r="E1372" s="131"/>
      <c r="F1372" s="618"/>
      <c r="G1372" s="618"/>
      <c r="H1372" s="618"/>
      <c r="I1372" s="619"/>
      <c r="J1372" s="619"/>
      <c r="K1372" s="603"/>
      <c r="L1372" s="603"/>
      <c r="M1372" s="603"/>
      <c r="N1372" s="553"/>
      <c r="O1372" s="603"/>
      <c r="P1372" s="603"/>
      <c r="Q1372" s="603"/>
      <c r="R1372" s="620"/>
      <c r="S1372" s="553"/>
      <c r="T1372" s="553"/>
      <c r="U1372" s="621"/>
      <c r="V1372" s="553"/>
      <c r="W1372" s="624"/>
      <c r="Y1372" s="443"/>
    </row>
    <row r="1373" ht="15.75" customHeight="1">
      <c r="A1373" s="622"/>
      <c r="B1373" s="623"/>
      <c r="C1373" s="490"/>
      <c r="D1373" s="617"/>
      <c r="E1373" s="131"/>
      <c r="F1373" s="618"/>
      <c r="G1373" s="618"/>
      <c r="H1373" s="618"/>
      <c r="I1373" s="619"/>
      <c r="J1373" s="619"/>
      <c r="K1373" s="603"/>
      <c r="L1373" s="603"/>
      <c r="M1373" s="603"/>
      <c r="N1373" s="553"/>
      <c r="O1373" s="603"/>
      <c r="P1373" s="603"/>
      <c r="Q1373" s="603"/>
      <c r="R1373" s="620"/>
      <c r="S1373" s="553"/>
      <c r="T1373" s="553"/>
      <c r="U1373" s="621"/>
      <c r="V1373" s="553"/>
      <c r="W1373" s="624"/>
      <c r="Y1373" s="443"/>
    </row>
    <row r="1374" ht="15.75" customHeight="1">
      <c r="A1374" s="622"/>
      <c r="B1374" s="623"/>
      <c r="C1374" s="490"/>
      <c r="D1374" s="617"/>
      <c r="E1374" s="131"/>
      <c r="F1374" s="618"/>
      <c r="G1374" s="618"/>
      <c r="H1374" s="618"/>
      <c r="I1374" s="619"/>
      <c r="J1374" s="619"/>
      <c r="K1374" s="603"/>
      <c r="L1374" s="603"/>
      <c r="M1374" s="603"/>
      <c r="N1374" s="553"/>
      <c r="O1374" s="603"/>
      <c r="P1374" s="603"/>
      <c r="Q1374" s="603"/>
      <c r="R1374" s="620"/>
      <c r="S1374" s="553"/>
      <c r="T1374" s="553"/>
      <c r="U1374" s="621"/>
      <c r="V1374" s="553"/>
      <c r="W1374" s="624"/>
      <c r="Y1374" s="443"/>
    </row>
    <row r="1375" ht="15.75" customHeight="1">
      <c r="A1375" s="622"/>
      <c r="B1375" s="623"/>
      <c r="C1375" s="490"/>
      <c r="D1375" s="617"/>
      <c r="E1375" s="131"/>
      <c r="F1375" s="618"/>
      <c r="G1375" s="618"/>
      <c r="H1375" s="618"/>
      <c r="I1375" s="619"/>
      <c r="J1375" s="619"/>
      <c r="K1375" s="603"/>
      <c r="L1375" s="603"/>
      <c r="M1375" s="603"/>
      <c r="N1375" s="553"/>
      <c r="O1375" s="603"/>
      <c r="P1375" s="603"/>
      <c r="Q1375" s="603"/>
      <c r="R1375" s="620"/>
      <c r="S1375" s="553"/>
      <c r="T1375" s="553"/>
      <c r="U1375" s="621"/>
      <c r="V1375" s="553"/>
      <c r="W1375" s="624"/>
      <c r="Y1375" s="443"/>
    </row>
    <row r="1376" ht="15.75" customHeight="1">
      <c r="A1376" s="622"/>
      <c r="B1376" s="623"/>
      <c r="C1376" s="490"/>
      <c r="D1376" s="617"/>
      <c r="E1376" s="131"/>
      <c r="F1376" s="618"/>
      <c r="G1376" s="618"/>
      <c r="H1376" s="618"/>
      <c r="I1376" s="619"/>
      <c r="J1376" s="619"/>
      <c r="K1376" s="603"/>
      <c r="L1376" s="603"/>
      <c r="M1376" s="603"/>
      <c r="N1376" s="553"/>
      <c r="O1376" s="603"/>
      <c r="P1376" s="603"/>
      <c r="Q1376" s="603"/>
      <c r="R1376" s="620"/>
      <c r="S1376" s="553"/>
      <c r="T1376" s="553"/>
      <c r="U1376" s="621"/>
      <c r="V1376" s="553"/>
      <c r="W1376" s="624"/>
      <c r="Y1376" s="443"/>
    </row>
    <row r="1377" ht="15.75" customHeight="1">
      <c r="A1377" s="622"/>
      <c r="B1377" s="623"/>
      <c r="C1377" s="490"/>
      <c r="D1377" s="617"/>
      <c r="E1377" s="131"/>
      <c r="F1377" s="618"/>
      <c r="G1377" s="618"/>
      <c r="H1377" s="618"/>
      <c r="I1377" s="619"/>
      <c r="J1377" s="619"/>
      <c r="K1377" s="603"/>
      <c r="L1377" s="603"/>
      <c r="M1377" s="603"/>
      <c r="N1377" s="553"/>
      <c r="O1377" s="603"/>
      <c r="P1377" s="603"/>
      <c r="Q1377" s="603"/>
      <c r="R1377" s="620"/>
      <c r="S1377" s="553"/>
      <c r="T1377" s="553"/>
      <c r="U1377" s="621"/>
      <c r="V1377" s="553"/>
      <c r="W1377" s="624"/>
      <c r="Y1377" s="443"/>
    </row>
    <row r="1378" ht="15.75" customHeight="1">
      <c r="A1378" s="622"/>
      <c r="B1378" s="623"/>
      <c r="C1378" s="490"/>
      <c r="D1378" s="617"/>
      <c r="E1378" s="131"/>
      <c r="F1378" s="618"/>
      <c r="G1378" s="618"/>
      <c r="H1378" s="618"/>
      <c r="I1378" s="619"/>
      <c r="J1378" s="619"/>
      <c r="K1378" s="603"/>
      <c r="L1378" s="603"/>
      <c r="M1378" s="603"/>
      <c r="N1378" s="553"/>
      <c r="O1378" s="603"/>
      <c r="P1378" s="603"/>
      <c r="Q1378" s="603"/>
      <c r="R1378" s="620"/>
      <c r="S1378" s="553"/>
      <c r="T1378" s="553"/>
      <c r="U1378" s="621"/>
      <c r="V1378" s="553"/>
      <c r="W1378" s="624"/>
      <c r="Y1378" s="443"/>
    </row>
    <row r="1379" ht="15.75" customHeight="1">
      <c r="A1379" s="622"/>
      <c r="B1379" s="623"/>
      <c r="C1379" s="490"/>
      <c r="D1379" s="617"/>
      <c r="E1379" s="131"/>
      <c r="F1379" s="618"/>
      <c r="G1379" s="618"/>
      <c r="H1379" s="618"/>
      <c r="I1379" s="619"/>
      <c r="J1379" s="619"/>
      <c r="K1379" s="603"/>
      <c r="L1379" s="603"/>
      <c r="M1379" s="603"/>
      <c r="N1379" s="553"/>
      <c r="O1379" s="603"/>
      <c r="P1379" s="603"/>
      <c r="Q1379" s="603"/>
      <c r="R1379" s="620"/>
      <c r="S1379" s="553"/>
      <c r="T1379" s="553"/>
      <c r="U1379" s="621"/>
      <c r="V1379" s="553"/>
      <c r="W1379" s="624"/>
      <c r="Y1379" s="443"/>
    </row>
    <row r="1380" ht="15.75" customHeight="1">
      <c r="A1380" s="622"/>
      <c r="B1380" s="623"/>
      <c r="C1380" s="490"/>
      <c r="D1380" s="617"/>
      <c r="E1380" s="131"/>
      <c r="F1380" s="618"/>
      <c r="G1380" s="618"/>
      <c r="H1380" s="618"/>
      <c r="I1380" s="619"/>
      <c r="J1380" s="619"/>
      <c r="K1380" s="603"/>
      <c r="L1380" s="603"/>
      <c r="M1380" s="603"/>
      <c r="N1380" s="553"/>
      <c r="O1380" s="603"/>
      <c r="P1380" s="603"/>
      <c r="Q1380" s="603"/>
      <c r="R1380" s="620"/>
      <c r="S1380" s="553"/>
      <c r="T1380" s="553"/>
      <c r="U1380" s="621"/>
      <c r="V1380" s="553"/>
      <c r="W1380" s="624"/>
      <c r="Y1380" s="443"/>
    </row>
    <row r="1381" ht="15.75" customHeight="1">
      <c r="A1381" s="622"/>
      <c r="B1381" s="623"/>
      <c r="C1381" s="490"/>
      <c r="D1381" s="617"/>
      <c r="E1381" s="131"/>
      <c r="F1381" s="618"/>
      <c r="G1381" s="618"/>
      <c r="H1381" s="618"/>
      <c r="I1381" s="619"/>
      <c r="J1381" s="619"/>
      <c r="K1381" s="603"/>
      <c r="L1381" s="603"/>
      <c r="M1381" s="603"/>
      <c r="N1381" s="553"/>
      <c r="O1381" s="603"/>
      <c r="P1381" s="603"/>
      <c r="Q1381" s="603"/>
      <c r="R1381" s="620"/>
      <c r="S1381" s="553"/>
      <c r="T1381" s="553"/>
      <c r="U1381" s="621"/>
      <c r="V1381" s="553"/>
      <c r="W1381" s="624"/>
      <c r="Y1381" s="443"/>
    </row>
    <row r="1382" ht="15.75" customHeight="1">
      <c r="A1382" s="622"/>
      <c r="B1382" s="623"/>
      <c r="C1382" s="490"/>
      <c r="D1382" s="617"/>
      <c r="E1382" s="131"/>
      <c r="F1382" s="618"/>
      <c r="G1382" s="618"/>
      <c r="H1382" s="618"/>
      <c r="I1382" s="619"/>
      <c r="J1382" s="619"/>
      <c r="K1382" s="603"/>
      <c r="L1382" s="603"/>
      <c r="M1382" s="603"/>
      <c r="N1382" s="553"/>
      <c r="O1382" s="603"/>
      <c r="P1382" s="603"/>
      <c r="Q1382" s="603"/>
      <c r="R1382" s="620"/>
      <c r="S1382" s="553"/>
      <c r="T1382" s="553"/>
      <c r="U1382" s="621"/>
      <c r="V1382" s="553"/>
      <c r="W1382" s="624"/>
      <c r="Y1382" s="443"/>
    </row>
    <row r="1383" ht="15.75" customHeight="1">
      <c r="A1383" s="622"/>
      <c r="B1383" s="623"/>
      <c r="C1383" s="490"/>
      <c r="D1383" s="617"/>
      <c r="E1383" s="131"/>
      <c r="F1383" s="618"/>
      <c r="G1383" s="618"/>
      <c r="H1383" s="618"/>
      <c r="I1383" s="619"/>
      <c r="J1383" s="619"/>
      <c r="K1383" s="603"/>
      <c r="L1383" s="603"/>
      <c r="M1383" s="603"/>
      <c r="N1383" s="553"/>
      <c r="O1383" s="603"/>
      <c r="P1383" s="603"/>
      <c r="Q1383" s="603"/>
      <c r="R1383" s="620"/>
      <c r="S1383" s="553"/>
      <c r="T1383" s="553"/>
      <c r="U1383" s="621"/>
      <c r="V1383" s="553"/>
      <c r="W1383" s="624"/>
      <c r="Y1383" s="443"/>
    </row>
    <row r="1384" ht="15.75" customHeight="1">
      <c r="A1384" s="622"/>
      <c r="B1384" s="623"/>
      <c r="C1384" s="490"/>
      <c r="D1384" s="617"/>
      <c r="E1384" s="131"/>
      <c r="F1384" s="618"/>
      <c r="G1384" s="618"/>
      <c r="H1384" s="618"/>
      <c r="I1384" s="619"/>
      <c r="J1384" s="619"/>
      <c r="K1384" s="603"/>
      <c r="L1384" s="603"/>
      <c r="M1384" s="603"/>
      <c r="N1384" s="553"/>
      <c r="O1384" s="603"/>
      <c r="P1384" s="603"/>
      <c r="Q1384" s="603"/>
      <c r="R1384" s="620"/>
      <c r="S1384" s="553"/>
      <c r="T1384" s="553"/>
      <c r="U1384" s="621"/>
      <c r="V1384" s="553"/>
      <c r="W1384" s="624"/>
      <c r="Y1384" s="443"/>
    </row>
    <row r="1385" ht="15.75" customHeight="1">
      <c r="A1385" s="622"/>
      <c r="B1385" s="623"/>
      <c r="C1385" s="490"/>
      <c r="D1385" s="617"/>
      <c r="E1385" s="131"/>
      <c r="F1385" s="618"/>
      <c r="G1385" s="618"/>
      <c r="H1385" s="618"/>
      <c r="I1385" s="619"/>
      <c r="J1385" s="619"/>
      <c r="K1385" s="603"/>
      <c r="L1385" s="603"/>
      <c r="M1385" s="603"/>
      <c r="N1385" s="553"/>
      <c r="O1385" s="603"/>
      <c r="P1385" s="603"/>
      <c r="Q1385" s="603"/>
      <c r="R1385" s="620"/>
      <c r="S1385" s="553"/>
      <c r="T1385" s="553"/>
      <c r="U1385" s="621"/>
      <c r="V1385" s="553"/>
      <c r="W1385" s="624"/>
      <c r="Y1385" s="443"/>
    </row>
    <row r="1386" ht="15.75" customHeight="1">
      <c r="A1386" s="622"/>
      <c r="B1386" s="623"/>
      <c r="C1386" s="490"/>
      <c r="D1386" s="617"/>
      <c r="E1386" s="131"/>
      <c r="F1386" s="618"/>
      <c r="G1386" s="618"/>
      <c r="H1386" s="618"/>
      <c r="I1386" s="619"/>
      <c r="J1386" s="619"/>
      <c r="K1386" s="603"/>
      <c r="L1386" s="603"/>
      <c r="M1386" s="603"/>
      <c r="N1386" s="553"/>
      <c r="O1386" s="603"/>
      <c r="P1386" s="603"/>
      <c r="Q1386" s="603"/>
      <c r="R1386" s="620"/>
      <c r="S1386" s="553"/>
      <c r="T1386" s="553"/>
      <c r="U1386" s="621"/>
      <c r="V1386" s="553"/>
      <c r="W1386" s="624"/>
      <c r="Y1386" s="443"/>
    </row>
    <row r="1387" ht="15.75" customHeight="1">
      <c r="A1387" s="622"/>
      <c r="B1387" s="623"/>
      <c r="C1387" s="490"/>
      <c r="D1387" s="617"/>
      <c r="E1387" s="131"/>
      <c r="F1387" s="618"/>
      <c r="G1387" s="618"/>
      <c r="H1387" s="618"/>
      <c r="I1387" s="619"/>
      <c r="J1387" s="619"/>
      <c r="K1387" s="603"/>
      <c r="L1387" s="603"/>
      <c r="M1387" s="603"/>
      <c r="N1387" s="553"/>
      <c r="O1387" s="603"/>
      <c r="P1387" s="603"/>
      <c r="Q1387" s="603"/>
      <c r="R1387" s="620"/>
      <c r="S1387" s="553"/>
      <c r="T1387" s="553"/>
      <c r="U1387" s="621"/>
      <c r="V1387" s="553"/>
      <c r="W1387" s="624"/>
      <c r="Y1387" s="443"/>
    </row>
    <row r="1388" ht="15.75" customHeight="1">
      <c r="A1388" s="622"/>
      <c r="B1388" s="623"/>
      <c r="C1388" s="490"/>
      <c r="D1388" s="617"/>
      <c r="E1388" s="131"/>
      <c r="F1388" s="618"/>
      <c r="G1388" s="618"/>
      <c r="H1388" s="618"/>
      <c r="I1388" s="619"/>
      <c r="J1388" s="619"/>
      <c r="K1388" s="603"/>
      <c r="L1388" s="603"/>
      <c r="M1388" s="603"/>
      <c r="N1388" s="553"/>
      <c r="O1388" s="603"/>
      <c r="P1388" s="603"/>
      <c r="Q1388" s="603"/>
      <c r="R1388" s="620"/>
      <c r="S1388" s="553"/>
      <c r="T1388" s="553"/>
      <c r="U1388" s="621"/>
      <c r="V1388" s="553"/>
      <c r="W1388" s="624"/>
      <c r="Y1388" s="443"/>
    </row>
    <row r="1389" ht="15.75" customHeight="1">
      <c r="A1389" s="622"/>
      <c r="B1389" s="623"/>
      <c r="C1389" s="490"/>
      <c r="D1389" s="617"/>
      <c r="E1389" s="131"/>
      <c r="F1389" s="618"/>
      <c r="G1389" s="618"/>
      <c r="H1389" s="618"/>
      <c r="I1389" s="619"/>
      <c r="J1389" s="619"/>
      <c r="K1389" s="603"/>
      <c r="L1389" s="603"/>
      <c r="M1389" s="603"/>
      <c r="N1389" s="553"/>
      <c r="O1389" s="603"/>
      <c r="P1389" s="603"/>
      <c r="Q1389" s="603"/>
      <c r="R1389" s="620"/>
      <c r="S1389" s="553"/>
      <c r="T1389" s="553"/>
      <c r="U1389" s="621"/>
      <c r="V1389" s="553"/>
      <c r="W1389" s="624"/>
      <c r="Y1389" s="443"/>
    </row>
    <row r="1390" ht="15.75" customHeight="1">
      <c r="A1390" s="622"/>
      <c r="B1390" s="623"/>
      <c r="C1390" s="490"/>
      <c r="D1390" s="617"/>
      <c r="E1390" s="131"/>
      <c r="F1390" s="618"/>
      <c r="G1390" s="618"/>
      <c r="H1390" s="618"/>
      <c r="I1390" s="619"/>
      <c r="J1390" s="619"/>
      <c r="K1390" s="603"/>
      <c r="L1390" s="603"/>
      <c r="M1390" s="603"/>
      <c r="N1390" s="553"/>
      <c r="O1390" s="603"/>
      <c r="P1390" s="603"/>
      <c r="Q1390" s="603"/>
      <c r="R1390" s="620"/>
      <c r="S1390" s="553"/>
      <c r="T1390" s="553"/>
      <c r="U1390" s="621"/>
      <c r="V1390" s="553"/>
      <c r="W1390" s="624"/>
      <c r="Y1390" s="443"/>
    </row>
    <row r="1391" ht="15.75" customHeight="1">
      <c r="A1391" s="622"/>
      <c r="B1391" s="623"/>
      <c r="C1391" s="490"/>
      <c r="D1391" s="617"/>
      <c r="E1391" s="131"/>
      <c r="F1391" s="618"/>
      <c r="G1391" s="618"/>
      <c r="H1391" s="618"/>
      <c r="I1391" s="619"/>
      <c r="J1391" s="619"/>
      <c r="K1391" s="603"/>
      <c r="L1391" s="603"/>
      <c r="M1391" s="603"/>
      <c r="N1391" s="553"/>
      <c r="O1391" s="603"/>
      <c r="P1391" s="603"/>
      <c r="Q1391" s="603"/>
      <c r="R1391" s="620"/>
      <c r="S1391" s="553"/>
      <c r="T1391" s="553"/>
      <c r="U1391" s="621"/>
      <c r="V1391" s="553"/>
      <c r="W1391" s="624"/>
      <c r="Y1391" s="443"/>
    </row>
    <row r="1392" ht="15.75" customHeight="1">
      <c r="A1392" s="622"/>
      <c r="B1392" s="623"/>
      <c r="C1392" s="490"/>
      <c r="D1392" s="617"/>
      <c r="E1392" s="131"/>
      <c r="F1392" s="618"/>
      <c r="G1392" s="618"/>
      <c r="H1392" s="618"/>
      <c r="I1392" s="619"/>
      <c r="J1392" s="619"/>
      <c r="K1392" s="603"/>
      <c r="L1392" s="603"/>
      <c r="M1392" s="603"/>
      <c r="N1392" s="553"/>
      <c r="O1392" s="603"/>
      <c r="P1392" s="603"/>
      <c r="Q1392" s="603"/>
      <c r="R1392" s="620"/>
      <c r="S1392" s="553"/>
      <c r="T1392" s="553"/>
      <c r="U1392" s="621"/>
      <c r="V1392" s="553"/>
      <c r="W1392" s="624"/>
      <c r="Y1392" s="443"/>
    </row>
    <row r="1393" ht="15.75" customHeight="1">
      <c r="A1393" s="622"/>
      <c r="B1393" s="623"/>
      <c r="C1393" s="490"/>
      <c r="D1393" s="617"/>
      <c r="E1393" s="131"/>
      <c r="F1393" s="618"/>
      <c r="G1393" s="618"/>
      <c r="H1393" s="618"/>
      <c r="I1393" s="619"/>
      <c r="J1393" s="619"/>
      <c r="K1393" s="603"/>
      <c r="L1393" s="603"/>
      <c r="M1393" s="603"/>
      <c r="N1393" s="553"/>
      <c r="O1393" s="603"/>
      <c r="P1393" s="603"/>
      <c r="Q1393" s="603"/>
      <c r="R1393" s="620"/>
      <c r="S1393" s="553"/>
      <c r="T1393" s="553"/>
      <c r="U1393" s="621"/>
      <c r="V1393" s="553"/>
      <c r="W1393" s="624"/>
      <c r="Y1393" s="443"/>
    </row>
    <row r="1394" ht="15.75" customHeight="1">
      <c r="A1394" s="622"/>
      <c r="B1394" s="623"/>
      <c r="C1394" s="490"/>
      <c r="D1394" s="617"/>
      <c r="E1394" s="131"/>
      <c r="F1394" s="618"/>
      <c r="G1394" s="618"/>
      <c r="H1394" s="618"/>
      <c r="I1394" s="619"/>
      <c r="J1394" s="619"/>
      <c r="K1394" s="603"/>
      <c r="L1394" s="603"/>
      <c r="M1394" s="603"/>
      <c r="N1394" s="553"/>
      <c r="O1394" s="603"/>
      <c r="P1394" s="603"/>
      <c r="Q1394" s="603"/>
      <c r="R1394" s="620"/>
      <c r="S1394" s="553"/>
      <c r="T1394" s="553"/>
      <c r="U1394" s="621"/>
      <c r="V1394" s="553"/>
      <c r="W1394" s="624"/>
      <c r="Y1394" s="443"/>
    </row>
    <row r="1395" ht="15.75" customHeight="1">
      <c r="A1395" s="622"/>
      <c r="B1395" s="623"/>
      <c r="C1395" s="490"/>
      <c r="D1395" s="617"/>
      <c r="E1395" s="131"/>
      <c r="F1395" s="618"/>
      <c r="G1395" s="618"/>
      <c r="H1395" s="618"/>
      <c r="I1395" s="619"/>
      <c r="J1395" s="619"/>
      <c r="K1395" s="603"/>
      <c r="L1395" s="603"/>
      <c r="M1395" s="603"/>
      <c r="N1395" s="553"/>
      <c r="O1395" s="603"/>
      <c r="P1395" s="603"/>
      <c r="Q1395" s="603"/>
      <c r="R1395" s="620"/>
      <c r="S1395" s="553"/>
      <c r="T1395" s="553"/>
      <c r="U1395" s="621"/>
      <c r="V1395" s="553"/>
      <c r="W1395" s="624"/>
      <c r="Y1395" s="443"/>
    </row>
    <row r="1396" ht="15.75" customHeight="1">
      <c r="A1396" s="622"/>
      <c r="B1396" s="623"/>
      <c r="C1396" s="490"/>
      <c r="D1396" s="617"/>
      <c r="E1396" s="131"/>
      <c r="F1396" s="618"/>
      <c r="G1396" s="618"/>
      <c r="H1396" s="618"/>
      <c r="I1396" s="619"/>
      <c r="J1396" s="619"/>
      <c r="K1396" s="603"/>
      <c r="L1396" s="603"/>
      <c r="M1396" s="603"/>
      <c r="N1396" s="553"/>
      <c r="O1396" s="603"/>
      <c r="P1396" s="603"/>
      <c r="Q1396" s="603"/>
      <c r="R1396" s="620"/>
      <c r="S1396" s="553"/>
      <c r="T1396" s="553"/>
      <c r="U1396" s="621"/>
      <c r="V1396" s="553"/>
      <c r="W1396" s="624"/>
      <c r="Y1396" s="443"/>
    </row>
    <row r="1397" ht="15.75" customHeight="1">
      <c r="A1397" s="622"/>
      <c r="B1397" s="623"/>
      <c r="C1397" s="490"/>
      <c r="D1397" s="617"/>
      <c r="E1397" s="131"/>
      <c r="F1397" s="618"/>
      <c r="G1397" s="618"/>
      <c r="H1397" s="618"/>
      <c r="I1397" s="619"/>
      <c r="J1397" s="619"/>
      <c r="K1397" s="603"/>
      <c r="L1397" s="603"/>
      <c r="M1397" s="603"/>
      <c r="N1397" s="553"/>
      <c r="O1397" s="603"/>
      <c r="P1397" s="603"/>
      <c r="Q1397" s="603"/>
      <c r="R1397" s="620"/>
      <c r="S1397" s="553"/>
      <c r="T1397" s="553"/>
      <c r="U1397" s="621"/>
      <c r="V1397" s="553"/>
      <c r="W1397" s="624"/>
      <c r="Y1397" s="443"/>
    </row>
    <row r="1398" ht="15.75" customHeight="1">
      <c r="A1398" s="622"/>
      <c r="B1398" s="623"/>
      <c r="C1398" s="490"/>
      <c r="D1398" s="617"/>
      <c r="E1398" s="131"/>
      <c r="F1398" s="618"/>
      <c r="G1398" s="618"/>
      <c r="H1398" s="618"/>
      <c r="I1398" s="619"/>
      <c r="J1398" s="619"/>
      <c r="K1398" s="603"/>
      <c r="L1398" s="603"/>
      <c r="M1398" s="603"/>
      <c r="N1398" s="553"/>
      <c r="O1398" s="603"/>
      <c r="P1398" s="603"/>
      <c r="Q1398" s="603"/>
      <c r="R1398" s="620"/>
      <c r="S1398" s="553"/>
      <c r="T1398" s="553"/>
      <c r="U1398" s="621"/>
      <c r="V1398" s="553"/>
      <c r="W1398" s="624"/>
      <c r="Y1398" s="443"/>
    </row>
    <row r="1399" ht="15.75" customHeight="1">
      <c r="A1399" s="622"/>
      <c r="B1399" s="623"/>
      <c r="C1399" s="490"/>
      <c r="D1399" s="617"/>
      <c r="E1399" s="131"/>
      <c r="F1399" s="618"/>
      <c r="G1399" s="618"/>
      <c r="H1399" s="618"/>
      <c r="I1399" s="619"/>
      <c r="J1399" s="619"/>
      <c r="K1399" s="603"/>
      <c r="L1399" s="603"/>
      <c r="M1399" s="603"/>
      <c r="N1399" s="553"/>
      <c r="O1399" s="603"/>
      <c r="P1399" s="603"/>
      <c r="Q1399" s="603"/>
      <c r="R1399" s="620"/>
      <c r="S1399" s="553"/>
      <c r="T1399" s="553"/>
      <c r="U1399" s="621"/>
      <c r="V1399" s="553"/>
      <c r="W1399" s="624"/>
      <c r="Y1399" s="443"/>
    </row>
    <row r="1400" ht="15.75" customHeight="1">
      <c r="A1400" s="622"/>
      <c r="B1400" s="623"/>
      <c r="C1400" s="490"/>
      <c r="D1400" s="617"/>
      <c r="E1400" s="131"/>
      <c r="F1400" s="618"/>
      <c r="G1400" s="618"/>
      <c r="H1400" s="618"/>
      <c r="I1400" s="619"/>
      <c r="J1400" s="619"/>
      <c r="K1400" s="603"/>
      <c r="L1400" s="603"/>
      <c r="M1400" s="603"/>
      <c r="N1400" s="553"/>
      <c r="O1400" s="603"/>
      <c r="P1400" s="603"/>
      <c r="Q1400" s="603"/>
      <c r="R1400" s="620"/>
      <c r="S1400" s="553"/>
      <c r="T1400" s="553"/>
      <c r="U1400" s="621"/>
      <c r="V1400" s="553"/>
      <c r="W1400" s="624"/>
      <c r="Y1400" s="443"/>
    </row>
    <row r="1401" ht="15.75" customHeight="1">
      <c r="A1401" s="622"/>
      <c r="B1401" s="623"/>
      <c r="C1401" s="490"/>
      <c r="D1401" s="617"/>
      <c r="E1401" s="131"/>
      <c r="F1401" s="618"/>
      <c r="G1401" s="618"/>
      <c r="H1401" s="618"/>
      <c r="I1401" s="619"/>
      <c r="J1401" s="619"/>
      <c r="K1401" s="603"/>
      <c r="L1401" s="603"/>
      <c r="M1401" s="603"/>
      <c r="N1401" s="553"/>
      <c r="O1401" s="603"/>
      <c r="P1401" s="603"/>
      <c r="Q1401" s="603"/>
      <c r="R1401" s="620"/>
      <c r="S1401" s="553"/>
      <c r="T1401" s="553"/>
      <c r="U1401" s="621"/>
      <c r="V1401" s="553"/>
      <c r="W1401" s="624"/>
      <c r="Y1401" s="443"/>
    </row>
    <row r="1402" ht="15.75" customHeight="1">
      <c r="A1402" s="622"/>
      <c r="B1402" s="623"/>
      <c r="C1402" s="490"/>
      <c r="D1402" s="617"/>
      <c r="E1402" s="131"/>
      <c r="F1402" s="618"/>
      <c r="G1402" s="618"/>
      <c r="H1402" s="618"/>
      <c r="I1402" s="619"/>
      <c r="J1402" s="619"/>
      <c r="K1402" s="603"/>
      <c r="L1402" s="603"/>
      <c r="M1402" s="603"/>
      <c r="N1402" s="553"/>
      <c r="O1402" s="603"/>
      <c r="P1402" s="603"/>
      <c r="Q1402" s="603"/>
      <c r="R1402" s="620"/>
      <c r="S1402" s="553"/>
      <c r="T1402" s="553"/>
      <c r="U1402" s="621"/>
      <c r="V1402" s="553"/>
      <c r="W1402" s="624"/>
      <c r="Y1402" s="443"/>
    </row>
    <row r="1403" ht="15.75" customHeight="1">
      <c r="A1403" s="622"/>
      <c r="B1403" s="623"/>
      <c r="C1403" s="490"/>
      <c r="D1403" s="617"/>
      <c r="E1403" s="131"/>
      <c r="F1403" s="618"/>
      <c r="G1403" s="618"/>
      <c r="H1403" s="618"/>
      <c r="I1403" s="619"/>
      <c r="J1403" s="619"/>
      <c r="K1403" s="603"/>
      <c r="L1403" s="603"/>
      <c r="M1403" s="603"/>
      <c r="N1403" s="553"/>
      <c r="O1403" s="603"/>
      <c r="P1403" s="603"/>
      <c r="Q1403" s="603"/>
      <c r="R1403" s="620"/>
      <c r="S1403" s="553"/>
      <c r="T1403" s="553"/>
      <c r="U1403" s="621"/>
      <c r="V1403" s="553"/>
      <c r="W1403" s="624"/>
      <c r="Y1403" s="443"/>
    </row>
    <row r="1404" ht="15.75" customHeight="1">
      <c r="A1404" s="622"/>
      <c r="B1404" s="623"/>
      <c r="C1404" s="490"/>
      <c r="D1404" s="617"/>
      <c r="E1404" s="131"/>
      <c r="F1404" s="618"/>
      <c r="G1404" s="618"/>
      <c r="H1404" s="618"/>
      <c r="I1404" s="619"/>
      <c r="J1404" s="619"/>
      <c r="K1404" s="603"/>
      <c r="L1404" s="603"/>
      <c r="M1404" s="603"/>
      <c r="N1404" s="553"/>
      <c r="O1404" s="603"/>
      <c r="P1404" s="603"/>
      <c r="Q1404" s="603"/>
      <c r="R1404" s="620"/>
      <c r="S1404" s="553"/>
      <c r="T1404" s="553"/>
      <c r="U1404" s="621"/>
      <c r="V1404" s="553"/>
      <c r="W1404" s="624"/>
      <c r="Y1404" s="443"/>
    </row>
    <row r="1405" ht="15.75" customHeight="1">
      <c r="A1405" s="622"/>
      <c r="B1405" s="623"/>
      <c r="C1405" s="490"/>
      <c r="D1405" s="617"/>
      <c r="E1405" s="131"/>
      <c r="F1405" s="618"/>
      <c r="G1405" s="618"/>
      <c r="H1405" s="618"/>
      <c r="I1405" s="619"/>
      <c r="J1405" s="619"/>
      <c r="K1405" s="603"/>
      <c r="L1405" s="603"/>
      <c r="M1405" s="603"/>
      <c r="N1405" s="553"/>
      <c r="O1405" s="603"/>
      <c r="P1405" s="603"/>
      <c r="Q1405" s="603"/>
      <c r="R1405" s="620"/>
      <c r="S1405" s="553"/>
      <c r="T1405" s="553"/>
      <c r="U1405" s="621"/>
      <c r="V1405" s="553"/>
      <c r="W1405" s="624"/>
      <c r="Y1405" s="443"/>
    </row>
    <row r="1406" ht="15.75" customHeight="1">
      <c r="A1406" s="622"/>
      <c r="B1406" s="623"/>
      <c r="C1406" s="490"/>
      <c r="D1406" s="617"/>
      <c r="E1406" s="131"/>
      <c r="F1406" s="618"/>
      <c r="G1406" s="618"/>
      <c r="H1406" s="618"/>
      <c r="I1406" s="619"/>
      <c r="J1406" s="619"/>
      <c r="K1406" s="603"/>
      <c r="L1406" s="603"/>
      <c r="M1406" s="603"/>
      <c r="N1406" s="553"/>
      <c r="O1406" s="603"/>
      <c r="P1406" s="603"/>
      <c r="Q1406" s="603"/>
      <c r="R1406" s="620"/>
      <c r="S1406" s="553"/>
      <c r="T1406" s="553"/>
      <c r="U1406" s="621"/>
      <c r="V1406" s="553"/>
      <c r="W1406" s="624"/>
      <c r="Y1406" s="443"/>
    </row>
    <row r="1407" ht="15.75" customHeight="1">
      <c r="A1407" s="622"/>
      <c r="B1407" s="623"/>
      <c r="C1407" s="490"/>
      <c r="D1407" s="617"/>
      <c r="E1407" s="131"/>
      <c r="F1407" s="618"/>
      <c r="G1407" s="618"/>
      <c r="H1407" s="618"/>
      <c r="I1407" s="619"/>
      <c r="J1407" s="619"/>
      <c r="K1407" s="603"/>
      <c r="L1407" s="603"/>
      <c r="M1407" s="603"/>
      <c r="N1407" s="553"/>
      <c r="O1407" s="603"/>
      <c r="P1407" s="603"/>
      <c r="Q1407" s="603"/>
      <c r="R1407" s="620"/>
      <c r="S1407" s="553"/>
      <c r="T1407" s="553"/>
      <c r="U1407" s="621"/>
      <c r="V1407" s="553"/>
      <c r="W1407" s="624"/>
      <c r="Y1407" s="443"/>
    </row>
    <row r="1408" ht="15.75" customHeight="1">
      <c r="A1408" s="622"/>
      <c r="B1408" s="623"/>
      <c r="C1408" s="490"/>
      <c r="D1408" s="617"/>
      <c r="E1408" s="131"/>
      <c r="F1408" s="618"/>
      <c r="G1408" s="618"/>
      <c r="H1408" s="618"/>
      <c r="I1408" s="619"/>
      <c r="J1408" s="619"/>
      <c r="K1408" s="603"/>
      <c r="L1408" s="603"/>
      <c r="M1408" s="603"/>
      <c r="N1408" s="553"/>
      <c r="O1408" s="603"/>
      <c r="P1408" s="603"/>
      <c r="Q1408" s="603"/>
      <c r="R1408" s="620"/>
      <c r="S1408" s="553"/>
      <c r="T1408" s="553"/>
      <c r="U1408" s="621"/>
      <c r="V1408" s="553"/>
      <c r="W1408" s="624"/>
      <c r="Y1408" s="443"/>
    </row>
    <row r="1409" ht="15.75" customHeight="1">
      <c r="A1409" s="622"/>
      <c r="B1409" s="623"/>
      <c r="C1409" s="490"/>
      <c r="D1409" s="617"/>
      <c r="E1409" s="131"/>
      <c r="F1409" s="618"/>
      <c r="G1409" s="618"/>
      <c r="H1409" s="618"/>
      <c r="I1409" s="619"/>
      <c r="J1409" s="619"/>
      <c r="K1409" s="603"/>
      <c r="L1409" s="603"/>
      <c r="M1409" s="603"/>
      <c r="N1409" s="553"/>
      <c r="O1409" s="603"/>
      <c r="P1409" s="603"/>
      <c r="Q1409" s="603"/>
      <c r="R1409" s="620"/>
      <c r="S1409" s="553"/>
      <c r="T1409" s="553"/>
      <c r="U1409" s="621"/>
      <c r="V1409" s="553"/>
      <c r="W1409" s="624"/>
      <c r="Y1409" s="443"/>
    </row>
    <row r="1410" ht="15.75" customHeight="1">
      <c r="A1410" s="622"/>
      <c r="B1410" s="623"/>
      <c r="C1410" s="490"/>
      <c r="D1410" s="617"/>
      <c r="E1410" s="131"/>
      <c r="F1410" s="618"/>
      <c r="G1410" s="618"/>
      <c r="H1410" s="618"/>
      <c r="I1410" s="619"/>
      <c r="J1410" s="619"/>
      <c r="K1410" s="603"/>
      <c r="L1410" s="603"/>
      <c r="M1410" s="603"/>
      <c r="N1410" s="553"/>
      <c r="O1410" s="603"/>
      <c r="P1410" s="603"/>
      <c r="Q1410" s="603"/>
      <c r="R1410" s="620"/>
      <c r="S1410" s="553"/>
      <c r="T1410" s="553"/>
      <c r="U1410" s="621"/>
      <c r="V1410" s="553"/>
      <c r="W1410" s="624"/>
      <c r="Y1410" s="443"/>
    </row>
    <row r="1411" ht="15.75" customHeight="1">
      <c r="A1411" s="622"/>
      <c r="B1411" s="623"/>
      <c r="C1411" s="490"/>
      <c r="D1411" s="617"/>
      <c r="E1411" s="131"/>
      <c r="F1411" s="618"/>
      <c r="G1411" s="618"/>
      <c r="H1411" s="618"/>
      <c r="I1411" s="619"/>
      <c r="J1411" s="619"/>
      <c r="K1411" s="603"/>
      <c r="L1411" s="603"/>
      <c r="M1411" s="603"/>
      <c r="N1411" s="553"/>
      <c r="O1411" s="603"/>
      <c r="P1411" s="603"/>
      <c r="Q1411" s="603"/>
      <c r="R1411" s="620"/>
      <c r="S1411" s="553"/>
      <c r="T1411" s="553"/>
      <c r="U1411" s="621"/>
      <c r="V1411" s="553"/>
      <c r="W1411" s="624"/>
      <c r="Y1411" s="443"/>
    </row>
    <row r="1412" ht="15.75" customHeight="1">
      <c r="A1412" s="622"/>
      <c r="B1412" s="623"/>
      <c r="C1412" s="490"/>
      <c r="D1412" s="617"/>
      <c r="E1412" s="131"/>
      <c r="F1412" s="618"/>
      <c r="G1412" s="618"/>
      <c r="H1412" s="618"/>
      <c r="I1412" s="619"/>
      <c r="J1412" s="619"/>
      <c r="K1412" s="603"/>
      <c r="L1412" s="603"/>
      <c r="M1412" s="603"/>
      <c r="N1412" s="553"/>
      <c r="O1412" s="603"/>
      <c r="P1412" s="603"/>
      <c r="Q1412" s="603"/>
      <c r="R1412" s="620"/>
      <c r="S1412" s="553"/>
      <c r="T1412" s="553"/>
      <c r="U1412" s="621"/>
      <c r="V1412" s="553"/>
      <c r="W1412" s="624"/>
      <c r="Y1412" s="443"/>
    </row>
    <row r="1413" ht="15.75" customHeight="1">
      <c r="A1413" s="622"/>
      <c r="B1413" s="623"/>
      <c r="C1413" s="490"/>
      <c r="D1413" s="617"/>
      <c r="E1413" s="131"/>
      <c r="F1413" s="618"/>
      <c r="G1413" s="618"/>
      <c r="H1413" s="618"/>
      <c r="I1413" s="619"/>
      <c r="J1413" s="619"/>
      <c r="K1413" s="603"/>
      <c r="L1413" s="603"/>
      <c r="M1413" s="603"/>
      <c r="N1413" s="553"/>
      <c r="O1413" s="603"/>
      <c r="P1413" s="603"/>
      <c r="Q1413" s="603"/>
      <c r="R1413" s="620"/>
      <c r="S1413" s="553"/>
      <c r="T1413" s="553"/>
      <c r="U1413" s="621"/>
      <c r="V1413" s="553"/>
      <c r="W1413" s="624"/>
      <c r="Y1413" s="443"/>
    </row>
    <row r="1414" ht="15.75" customHeight="1">
      <c r="A1414" s="622"/>
      <c r="B1414" s="623"/>
      <c r="C1414" s="490"/>
      <c r="D1414" s="617"/>
      <c r="E1414" s="131"/>
      <c r="F1414" s="618"/>
      <c r="G1414" s="618"/>
      <c r="H1414" s="618"/>
      <c r="I1414" s="619"/>
      <c r="J1414" s="619"/>
      <c r="K1414" s="603"/>
      <c r="L1414" s="603"/>
      <c r="M1414" s="603"/>
      <c r="N1414" s="553"/>
      <c r="O1414" s="603"/>
      <c r="P1414" s="603"/>
      <c r="Q1414" s="603"/>
      <c r="R1414" s="620"/>
      <c r="S1414" s="553"/>
      <c r="T1414" s="553"/>
      <c r="U1414" s="621"/>
      <c r="V1414" s="553"/>
      <c r="W1414" s="624"/>
      <c r="Y1414" s="443"/>
    </row>
    <row r="1415" ht="15.75" customHeight="1">
      <c r="A1415" s="622"/>
      <c r="B1415" s="623"/>
      <c r="C1415" s="490"/>
      <c r="D1415" s="617"/>
      <c r="E1415" s="131"/>
      <c r="F1415" s="618"/>
      <c r="G1415" s="618"/>
      <c r="H1415" s="618"/>
      <c r="I1415" s="619"/>
      <c r="J1415" s="619"/>
      <c r="K1415" s="603"/>
      <c r="L1415" s="603"/>
      <c r="M1415" s="603"/>
      <c r="N1415" s="553"/>
      <c r="O1415" s="603"/>
      <c r="P1415" s="603"/>
      <c r="Q1415" s="603"/>
      <c r="R1415" s="620"/>
      <c r="S1415" s="553"/>
      <c r="T1415" s="553"/>
      <c r="U1415" s="621"/>
      <c r="V1415" s="553"/>
      <c r="W1415" s="624"/>
      <c r="Y1415" s="443"/>
    </row>
    <row r="1416" ht="15.75" customHeight="1">
      <c r="A1416" s="622"/>
      <c r="B1416" s="623"/>
      <c r="C1416" s="490"/>
      <c r="D1416" s="617"/>
      <c r="E1416" s="131"/>
      <c r="F1416" s="618"/>
      <c r="G1416" s="618"/>
      <c r="H1416" s="618"/>
      <c r="I1416" s="619"/>
      <c r="J1416" s="619"/>
      <c r="K1416" s="603"/>
      <c r="L1416" s="603"/>
      <c r="M1416" s="603"/>
      <c r="N1416" s="553"/>
      <c r="O1416" s="603"/>
      <c r="P1416" s="603"/>
      <c r="Q1416" s="603"/>
      <c r="R1416" s="620"/>
      <c r="S1416" s="553"/>
      <c r="T1416" s="553"/>
      <c r="U1416" s="621"/>
      <c r="V1416" s="553"/>
      <c r="W1416" s="624"/>
      <c r="Y1416" s="443"/>
    </row>
    <row r="1417" ht="15.75" customHeight="1">
      <c r="A1417" s="622"/>
      <c r="B1417" s="623"/>
      <c r="C1417" s="490"/>
      <c r="D1417" s="617"/>
      <c r="E1417" s="131"/>
      <c r="F1417" s="618"/>
      <c r="G1417" s="618"/>
      <c r="H1417" s="618"/>
      <c r="I1417" s="619"/>
      <c r="J1417" s="619"/>
      <c r="K1417" s="603"/>
      <c r="L1417" s="603"/>
      <c r="M1417" s="603"/>
      <c r="N1417" s="553"/>
      <c r="O1417" s="603"/>
      <c r="P1417" s="603"/>
      <c r="Q1417" s="603"/>
      <c r="R1417" s="620"/>
      <c r="S1417" s="553"/>
      <c r="T1417" s="553"/>
      <c r="U1417" s="621"/>
      <c r="V1417" s="553"/>
      <c r="W1417" s="624"/>
      <c r="Y1417" s="443"/>
    </row>
    <row r="1418" ht="15.75" customHeight="1">
      <c r="A1418" s="622"/>
      <c r="B1418" s="623"/>
      <c r="C1418" s="490"/>
      <c r="D1418" s="617"/>
      <c r="E1418" s="131"/>
      <c r="F1418" s="618"/>
      <c r="G1418" s="618"/>
      <c r="H1418" s="618"/>
      <c r="I1418" s="619"/>
      <c r="J1418" s="619"/>
      <c r="K1418" s="603"/>
      <c r="L1418" s="603"/>
      <c r="M1418" s="603"/>
      <c r="N1418" s="553"/>
      <c r="O1418" s="603"/>
      <c r="P1418" s="603"/>
      <c r="Q1418" s="603"/>
      <c r="R1418" s="620"/>
      <c r="S1418" s="553"/>
      <c r="T1418" s="553"/>
      <c r="U1418" s="621"/>
      <c r="V1418" s="553"/>
      <c r="W1418" s="624"/>
      <c r="Y1418" s="443"/>
    </row>
    <row r="1419" ht="15.75" customHeight="1">
      <c r="A1419" s="622"/>
      <c r="B1419" s="623"/>
      <c r="C1419" s="490"/>
      <c r="D1419" s="617"/>
      <c r="E1419" s="131"/>
      <c r="F1419" s="618"/>
      <c r="G1419" s="618"/>
      <c r="H1419" s="618"/>
      <c r="I1419" s="619"/>
      <c r="J1419" s="619"/>
      <c r="K1419" s="603"/>
      <c r="L1419" s="603"/>
      <c r="M1419" s="603"/>
      <c r="N1419" s="553"/>
      <c r="O1419" s="603"/>
      <c r="P1419" s="603"/>
      <c r="Q1419" s="603"/>
      <c r="R1419" s="620"/>
      <c r="S1419" s="553"/>
      <c r="T1419" s="553"/>
      <c r="U1419" s="621"/>
      <c r="V1419" s="553"/>
      <c r="W1419" s="624"/>
      <c r="Y1419" s="443"/>
    </row>
    <row r="1420" ht="15.75" customHeight="1">
      <c r="A1420" s="622"/>
      <c r="B1420" s="623"/>
      <c r="C1420" s="490"/>
      <c r="D1420" s="617"/>
      <c r="E1420" s="131"/>
      <c r="F1420" s="618"/>
      <c r="G1420" s="618"/>
      <c r="H1420" s="618"/>
      <c r="I1420" s="619"/>
      <c r="J1420" s="619"/>
      <c r="K1420" s="603"/>
      <c r="L1420" s="603"/>
      <c r="M1420" s="603"/>
      <c r="N1420" s="553"/>
      <c r="O1420" s="603"/>
      <c r="P1420" s="603"/>
      <c r="Q1420" s="603"/>
      <c r="R1420" s="620"/>
      <c r="S1420" s="553"/>
      <c r="T1420" s="553"/>
      <c r="U1420" s="621"/>
      <c r="V1420" s="553"/>
      <c r="W1420" s="624"/>
      <c r="Y1420" s="443"/>
    </row>
    <row r="1421" ht="15.75" customHeight="1">
      <c r="A1421" s="622"/>
      <c r="B1421" s="623"/>
      <c r="C1421" s="490"/>
      <c r="D1421" s="617"/>
      <c r="E1421" s="131"/>
      <c r="F1421" s="618"/>
      <c r="G1421" s="618"/>
      <c r="H1421" s="618"/>
      <c r="I1421" s="619"/>
      <c r="J1421" s="619"/>
      <c r="K1421" s="603"/>
      <c r="L1421" s="603"/>
      <c r="M1421" s="603"/>
      <c r="N1421" s="553"/>
      <c r="O1421" s="603"/>
      <c r="P1421" s="603"/>
      <c r="Q1421" s="603"/>
      <c r="R1421" s="620"/>
      <c r="S1421" s="553"/>
      <c r="T1421" s="553"/>
      <c r="U1421" s="621"/>
      <c r="V1421" s="553"/>
      <c r="W1421" s="624"/>
      <c r="Y1421" s="443"/>
    </row>
    <row r="1422" ht="15.75" customHeight="1">
      <c r="A1422" s="622"/>
      <c r="B1422" s="623"/>
      <c r="C1422" s="490"/>
      <c r="D1422" s="617"/>
      <c r="E1422" s="131"/>
      <c r="F1422" s="618"/>
      <c r="G1422" s="618"/>
      <c r="H1422" s="618"/>
      <c r="I1422" s="619"/>
      <c r="J1422" s="619"/>
      <c r="K1422" s="603"/>
      <c r="L1422" s="603"/>
      <c r="M1422" s="603"/>
      <c r="N1422" s="553"/>
      <c r="O1422" s="603"/>
      <c r="P1422" s="603"/>
      <c r="Q1422" s="603"/>
      <c r="R1422" s="620"/>
      <c r="S1422" s="553"/>
      <c r="T1422" s="553"/>
      <c r="U1422" s="621"/>
      <c r="V1422" s="553"/>
      <c r="W1422" s="624"/>
      <c r="Y1422" s="443"/>
    </row>
    <row r="1423" ht="15.75" customHeight="1">
      <c r="A1423" s="622"/>
      <c r="B1423" s="623"/>
      <c r="C1423" s="490"/>
      <c r="D1423" s="617"/>
      <c r="E1423" s="131"/>
      <c r="F1423" s="618"/>
      <c r="G1423" s="618"/>
      <c r="H1423" s="618"/>
      <c r="I1423" s="619"/>
      <c r="J1423" s="619"/>
      <c r="K1423" s="603"/>
      <c r="L1423" s="603"/>
      <c r="M1423" s="603"/>
      <c r="N1423" s="553"/>
      <c r="O1423" s="603"/>
      <c r="P1423" s="603"/>
      <c r="Q1423" s="603"/>
      <c r="R1423" s="620"/>
      <c r="S1423" s="553"/>
      <c r="T1423" s="553"/>
      <c r="U1423" s="621"/>
      <c r="V1423" s="553"/>
      <c r="W1423" s="624"/>
      <c r="Y1423" s="443"/>
    </row>
    <row r="1424" ht="15.75" customHeight="1">
      <c r="A1424" s="622"/>
      <c r="B1424" s="623"/>
      <c r="C1424" s="490"/>
      <c r="D1424" s="617"/>
      <c r="E1424" s="131"/>
      <c r="F1424" s="618"/>
      <c r="G1424" s="618"/>
      <c r="H1424" s="618"/>
      <c r="I1424" s="619"/>
      <c r="J1424" s="619"/>
      <c r="K1424" s="603"/>
      <c r="L1424" s="603"/>
      <c r="M1424" s="603"/>
      <c r="N1424" s="553"/>
      <c r="O1424" s="603"/>
      <c r="P1424" s="603"/>
      <c r="Q1424" s="603"/>
      <c r="R1424" s="620"/>
      <c r="S1424" s="553"/>
      <c r="T1424" s="553"/>
      <c r="U1424" s="621"/>
      <c r="V1424" s="553"/>
      <c r="W1424" s="624"/>
      <c r="Y1424" s="443"/>
    </row>
    <row r="1425" ht="15.75" customHeight="1">
      <c r="A1425" s="622"/>
      <c r="B1425" s="623"/>
      <c r="C1425" s="490"/>
      <c r="D1425" s="617"/>
      <c r="E1425" s="131"/>
      <c r="F1425" s="618"/>
      <c r="G1425" s="618"/>
      <c r="H1425" s="618"/>
      <c r="I1425" s="619"/>
      <c r="J1425" s="619"/>
      <c r="K1425" s="603"/>
      <c r="L1425" s="603"/>
      <c r="M1425" s="603"/>
      <c r="N1425" s="553"/>
      <c r="O1425" s="603"/>
      <c r="P1425" s="603"/>
      <c r="Q1425" s="603"/>
      <c r="R1425" s="620"/>
      <c r="S1425" s="553"/>
      <c r="T1425" s="553"/>
      <c r="U1425" s="621"/>
      <c r="V1425" s="553"/>
      <c r="W1425" s="624"/>
      <c r="Y1425" s="443"/>
    </row>
    <row r="1426" ht="15.75" customHeight="1">
      <c r="A1426" s="622"/>
      <c r="B1426" s="623"/>
      <c r="C1426" s="490"/>
      <c r="D1426" s="617"/>
      <c r="E1426" s="131"/>
      <c r="F1426" s="618"/>
      <c r="G1426" s="618"/>
      <c r="H1426" s="618"/>
      <c r="I1426" s="619"/>
      <c r="J1426" s="619"/>
      <c r="K1426" s="603"/>
      <c r="L1426" s="603"/>
      <c r="M1426" s="603"/>
      <c r="N1426" s="553"/>
      <c r="O1426" s="603"/>
      <c r="P1426" s="603"/>
      <c r="Q1426" s="603"/>
      <c r="R1426" s="620"/>
      <c r="S1426" s="553"/>
      <c r="T1426" s="553"/>
      <c r="U1426" s="621"/>
      <c r="V1426" s="553"/>
      <c r="W1426" s="624"/>
      <c r="Y1426" s="443"/>
    </row>
    <row r="1427" ht="15.75" customHeight="1">
      <c r="A1427" s="622"/>
      <c r="B1427" s="623"/>
      <c r="C1427" s="490"/>
      <c r="D1427" s="617"/>
      <c r="E1427" s="131"/>
      <c r="F1427" s="618"/>
      <c r="G1427" s="618"/>
      <c r="H1427" s="618"/>
      <c r="I1427" s="619"/>
      <c r="J1427" s="619"/>
      <c r="K1427" s="603"/>
      <c r="L1427" s="603"/>
      <c r="M1427" s="603"/>
      <c r="N1427" s="553"/>
      <c r="O1427" s="603"/>
      <c r="P1427" s="603"/>
      <c r="Q1427" s="603"/>
      <c r="R1427" s="620"/>
      <c r="S1427" s="553"/>
      <c r="T1427" s="553"/>
      <c r="U1427" s="621"/>
      <c r="V1427" s="553"/>
      <c r="W1427" s="624"/>
      <c r="Y1427" s="443"/>
    </row>
    <row r="1428" ht="15.75" customHeight="1">
      <c r="A1428" s="622"/>
      <c r="B1428" s="623"/>
      <c r="C1428" s="490"/>
      <c r="D1428" s="617"/>
      <c r="E1428" s="131"/>
      <c r="F1428" s="618"/>
      <c r="G1428" s="618"/>
      <c r="H1428" s="618"/>
      <c r="I1428" s="619"/>
      <c r="J1428" s="619"/>
      <c r="K1428" s="603"/>
      <c r="L1428" s="603"/>
      <c r="M1428" s="603"/>
      <c r="N1428" s="553"/>
      <c r="O1428" s="603"/>
      <c r="P1428" s="603"/>
      <c r="Q1428" s="603"/>
      <c r="R1428" s="620"/>
      <c r="S1428" s="553"/>
      <c r="T1428" s="553"/>
      <c r="U1428" s="621"/>
      <c r="V1428" s="553"/>
      <c r="W1428" s="624"/>
      <c r="Y1428" s="443"/>
    </row>
    <row r="1429" ht="15.75" customHeight="1">
      <c r="A1429" s="622"/>
      <c r="B1429" s="623"/>
      <c r="C1429" s="490"/>
      <c r="D1429" s="617"/>
      <c r="E1429" s="131"/>
      <c r="F1429" s="618"/>
      <c r="G1429" s="618"/>
      <c r="H1429" s="618"/>
      <c r="I1429" s="619"/>
      <c r="J1429" s="619"/>
      <c r="K1429" s="603"/>
      <c r="L1429" s="603"/>
      <c r="M1429" s="603"/>
      <c r="N1429" s="553"/>
      <c r="O1429" s="603"/>
      <c r="P1429" s="603"/>
      <c r="Q1429" s="603"/>
      <c r="R1429" s="620"/>
      <c r="S1429" s="553"/>
      <c r="T1429" s="553"/>
      <c r="U1429" s="621"/>
      <c r="V1429" s="553"/>
      <c r="W1429" s="624"/>
      <c r="Y1429" s="443"/>
    </row>
    <row r="1430" ht="15.75" customHeight="1">
      <c r="A1430" s="622"/>
      <c r="B1430" s="623"/>
      <c r="C1430" s="490"/>
      <c r="D1430" s="617"/>
      <c r="E1430" s="131"/>
      <c r="F1430" s="618"/>
      <c r="G1430" s="618"/>
      <c r="H1430" s="618"/>
      <c r="I1430" s="619"/>
      <c r="J1430" s="619"/>
      <c r="K1430" s="603"/>
      <c r="L1430" s="603"/>
      <c r="M1430" s="603"/>
      <c r="N1430" s="553"/>
      <c r="O1430" s="603"/>
      <c r="P1430" s="603"/>
      <c r="Q1430" s="603"/>
      <c r="R1430" s="620"/>
      <c r="S1430" s="553"/>
      <c r="T1430" s="553"/>
      <c r="U1430" s="621"/>
      <c r="V1430" s="553"/>
      <c r="W1430" s="624"/>
      <c r="Y1430" s="443"/>
    </row>
    <row r="1431" ht="15.75" customHeight="1">
      <c r="A1431" s="622"/>
      <c r="B1431" s="623"/>
      <c r="C1431" s="490"/>
      <c r="D1431" s="617"/>
      <c r="E1431" s="131"/>
      <c r="F1431" s="618"/>
      <c r="G1431" s="618"/>
      <c r="H1431" s="618"/>
      <c r="I1431" s="619"/>
      <c r="J1431" s="619"/>
      <c r="K1431" s="603"/>
      <c r="L1431" s="603"/>
      <c r="M1431" s="603"/>
      <c r="N1431" s="553"/>
      <c r="O1431" s="603"/>
      <c r="P1431" s="603"/>
      <c r="Q1431" s="603"/>
      <c r="R1431" s="620"/>
      <c r="S1431" s="553"/>
      <c r="T1431" s="553"/>
      <c r="U1431" s="621"/>
      <c r="V1431" s="553"/>
      <c r="W1431" s="624"/>
      <c r="Y1431" s="443"/>
    </row>
    <row r="1432" ht="15.75" customHeight="1">
      <c r="A1432" s="622"/>
      <c r="B1432" s="623"/>
      <c r="C1432" s="490"/>
      <c r="D1432" s="617"/>
      <c r="E1432" s="131"/>
      <c r="F1432" s="618"/>
      <c r="G1432" s="618"/>
      <c r="H1432" s="618"/>
      <c r="I1432" s="619"/>
      <c r="J1432" s="619"/>
      <c r="K1432" s="603"/>
      <c r="L1432" s="603"/>
      <c r="M1432" s="603"/>
      <c r="N1432" s="553"/>
      <c r="O1432" s="603"/>
      <c r="P1432" s="603"/>
      <c r="Q1432" s="603"/>
      <c r="R1432" s="620"/>
      <c r="S1432" s="553"/>
      <c r="T1432" s="553"/>
      <c r="U1432" s="621"/>
      <c r="V1432" s="553"/>
      <c r="W1432" s="624"/>
      <c r="Y1432" s="443"/>
    </row>
    <row r="1433" ht="15.75" customHeight="1">
      <c r="A1433" s="622"/>
      <c r="B1433" s="623"/>
      <c r="C1433" s="490"/>
      <c r="D1433" s="617"/>
      <c r="E1433" s="131"/>
      <c r="F1433" s="618"/>
      <c r="G1433" s="618"/>
      <c r="H1433" s="618"/>
      <c r="I1433" s="619"/>
      <c r="J1433" s="619"/>
      <c r="K1433" s="603"/>
      <c r="L1433" s="603"/>
      <c r="M1433" s="603"/>
      <c r="N1433" s="553"/>
      <c r="O1433" s="603"/>
      <c r="P1433" s="603"/>
      <c r="Q1433" s="603"/>
      <c r="R1433" s="620"/>
      <c r="S1433" s="553"/>
      <c r="T1433" s="553"/>
      <c r="U1433" s="621"/>
      <c r="V1433" s="553"/>
      <c r="W1433" s="624"/>
      <c r="Y1433" s="443"/>
    </row>
    <row r="1434" ht="15.75" customHeight="1">
      <c r="A1434" s="622"/>
      <c r="B1434" s="623"/>
      <c r="C1434" s="490"/>
      <c r="D1434" s="617"/>
      <c r="E1434" s="131"/>
      <c r="F1434" s="618"/>
      <c r="G1434" s="618"/>
      <c r="H1434" s="618"/>
      <c r="I1434" s="619"/>
      <c r="J1434" s="619"/>
      <c r="K1434" s="603"/>
      <c r="L1434" s="603"/>
      <c r="M1434" s="603"/>
      <c r="N1434" s="553"/>
      <c r="O1434" s="603"/>
      <c r="P1434" s="603"/>
      <c r="Q1434" s="603"/>
      <c r="R1434" s="620"/>
      <c r="S1434" s="553"/>
      <c r="T1434" s="553"/>
      <c r="U1434" s="621"/>
      <c r="V1434" s="553"/>
      <c r="W1434" s="624"/>
      <c r="Y1434" s="443"/>
    </row>
    <row r="1435" ht="15.75" customHeight="1">
      <c r="A1435" s="622"/>
      <c r="B1435" s="623"/>
      <c r="C1435" s="490"/>
      <c r="D1435" s="617"/>
      <c r="E1435" s="131"/>
      <c r="F1435" s="618"/>
      <c r="G1435" s="618"/>
      <c r="H1435" s="618"/>
      <c r="I1435" s="619"/>
      <c r="J1435" s="619"/>
      <c r="K1435" s="603"/>
      <c r="L1435" s="603"/>
      <c r="M1435" s="603"/>
      <c r="N1435" s="553"/>
      <c r="O1435" s="603"/>
      <c r="P1435" s="603"/>
      <c r="Q1435" s="603"/>
      <c r="R1435" s="620"/>
      <c r="S1435" s="553"/>
      <c r="T1435" s="553"/>
      <c r="U1435" s="621"/>
      <c r="V1435" s="553"/>
      <c r="W1435" s="624"/>
      <c r="Y1435" s="443"/>
    </row>
    <row r="1436" ht="15.75" customHeight="1">
      <c r="A1436" s="622"/>
      <c r="B1436" s="623"/>
      <c r="C1436" s="490"/>
      <c r="D1436" s="617"/>
      <c r="E1436" s="131"/>
      <c r="F1436" s="618"/>
      <c r="G1436" s="618"/>
      <c r="H1436" s="618"/>
      <c r="I1436" s="619"/>
      <c r="J1436" s="619"/>
      <c r="K1436" s="603"/>
      <c r="L1436" s="603"/>
      <c r="M1436" s="603"/>
      <c r="N1436" s="553"/>
      <c r="O1436" s="603"/>
      <c r="P1436" s="603"/>
      <c r="Q1436" s="603"/>
      <c r="R1436" s="620"/>
      <c r="S1436" s="553"/>
      <c r="T1436" s="553"/>
      <c r="U1436" s="621"/>
      <c r="V1436" s="553"/>
      <c r="W1436" s="624"/>
      <c r="Y1436" s="443"/>
    </row>
    <row r="1437" ht="15.75" customHeight="1">
      <c r="A1437" s="622"/>
      <c r="B1437" s="623"/>
      <c r="C1437" s="490"/>
      <c r="D1437" s="617"/>
      <c r="E1437" s="131"/>
      <c r="F1437" s="618"/>
      <c r="G1437" s="618"/>
      <c r="H1437" s="618"/>
      <c r="I1437" s="619"/>
      <c r="J1437" s="619"/>
      <c r="K1437" s="603"/>
      <c r="L1437" s="603"/>
      <c r="M1437" s="603"/>
      <c r="N1437" s="553"/>
      <c r="O1437" s="603"/>
      <c r="P1437" s="603"/>
      <c r="Q1437" s="603"/>
      <c r="R1437" s="620"/>
      <c r="S1437" s="553"/>
      <c r="T1437" s="553"/>
      <c r="U1437" s="621"/>
      <c r="V1437" s="553"/>
      <c r="W1437" s="624"/>
      <c r="Y1437" s="443"/>
    </row>
    <row r="1438" ht="15.75" customHeight="1">
      <c r="A1438" s="622"/>
      <c r="B1438" s="623"/>
      <c r="C1438" s="490"/>
      <c r="D1438" s="617"/>
      <c r="E1438" s="131"/>
      <c r="F1438" s="618"/>
      <c r="G1438" s="618"/>
      <c r="H1438" s="618"/>
      <c r="I1438" s="619"/>
      <c r="J1438" s="619"/>
      <c r="K1438" s="603"/>
      <c r="L1438" s="603"/>
      <c r="M1438" s="603"/>
      <c r="N1438" s="553"/>
      <c r="O1438" s="603"/>
      <c r="P1438" s="603"/>
      <c r="Q1438" s="603"/>
      <c r="R1438" s="620"/>
      <c r="S1438" s="553"/>
      <c r="T1438" s="553"/>
      <c r="U1438" s="621"/>
      <c r="V1438" s="553"/>
      <c r="W1438" s="624"/>
      <c r="Y1438" s="443"/>
    </row>
    <row r="1439" ht="15.75" customHeight="1">
      <c r="A1439" s="622"/>
      <c r="B1439" s="623"/>
      <c r="C1439" s="490"/>
      <c r="D1439" s="617"/>
      <c r="E1439" s="131"/>
      <c r="F1439" s="618"/>
      <c r="G1439" s="618"/>
      <c r="H1439" s="618"/>
      <c r="I1439" s="619"/>
      <c r="J1439" s="619"/>
      <c r="K1439" s="603"/>
      <c r="L1439" s="603"/>
      <c r="M1439" s="603"/>
      <c r="N1439" s="553"/>
      <c r="O1439" s="603"/>
      <c r="P1439" s="603"/>
      <c r="Q1439" s="603"/>
      <c r="R1439" s="620"/>
      <c r="S1439" s="553"/>
      <c r="T1439" s="553"/>
      <c r="U1439" s="621"/>
      <c r="V1439" s="553"/>
      <c r="W1439" s="624"/>
      <c r="Y1439" s="443"/>
    </row>
    <row r="1440" ht="15.75" customHeight="1">
      <c r="A1440" s="622"/>
      <c r="B1440" s="623"/>
      <c r="C1440" s="490"/>
      <c r="D1440" s="617"/>
      <c r="E1440" s="131"/>
      <c r="F1440" s="618"/>
      <c r="G1440" s="618"/>
      <c r="H1440" s="618"/>
      <c r="I1440" s="619"/>
      <c r="J1440" s="619"/>
      <c r="K1440" s="603"/>
      <c r="L1440" s="603"/>
      <c r="M1440" s="603"/>
      <c r="N1440" s="553"/>
      <c r="O1440" s="603"/>
      <c r="P1440" s="603"/>
      <c r="Q1440" s="603"/>
      <c r="R1440" s="620"/>
      <c r="S1440" s="553"/>
      <c r="T1440" s="553"/>
      <c r="U1440" s="621"/>
      <c r="V1440" s="553"/>
      <c r="W1440" s="624"/>
      <c r="Y1440" s="443"/>
    </row>
    <row r="1441" ht="15.75" customHeight="1">
      <c r="A1441" s="622"/>
      <c r="B1441" s="623"/>
      <c r="C1441" s="490"/>
      <c r="D1441" s="617"/>
      <c r="E1441" s="131"/>
      <c r="F1441" s="618"/>
      <c r="G1441" s="618"/>
      <c r="H1441" s="618"/>
      <c r="I1441" s="619"/>
      <c r="J1441" s="619"/>
      <c r="K1441" s="603"/>
      <c r="L1441" s="603"/>
      <c r="M1441" s="603"/>
      <c r="N1441" s="553"/>
      <c r="O1441" s="603"/>
      <c r="P1441" s="603"/>
      <c r="Q1441" s="603"/>
      <c r="R1441" s="620"/>
      <c r="S1441" s="553"/>
      <c r="T1441" s="553"/>
      <c r="U1441" s="621"/>
      <c r="V1441" s="553"/>
      <c r="W1441" s="624"/>
      <c r="Y1441" s="443"/>
    </row>
    <row r="1442" ht="15.75" customHeight="1">
      <c r="A1442" s="622"/>
      <c r="B1442" s="623"/>
      <c r="C1442" s="490"/>
      <c r="D1442" s="617"/>
      <c r="E1442" s="131"/>
      <c r="F1442" s="618"/>
      <c r="G1442" s="618"/>
      <c r="H1442" s="618"/>
      <c r="I1442" s="619"/>
      <c r="J1442" s="619"/>
      <c r="K1442" s="603"/>
      <c r="L1442" s="603"/>
      <c r="M1442" s="603"/>
      <c r="N1442" s="553"/>
      <c r="O1442" s="603"/>
      <c r="P1442" s="603"/>
      <c r="Q1442" s="603"/>
      <c r="R1442" s="620"/>
      <c r="S1442" s="553"/>
      <c r="T1442" s="553"/>
      <c r="U1442" s="621"/>
      <c r="V1442" s="553"/>
      <c r="W1442" s="624"/>
      <c r="Y1442" s="443"/>
    </row>
    <row r="1443" ht="15.75" customHeight="1">
      <c r="A1443" s="622"/>
      <c r="B1443" s="623"/>
      <c r="C1443" s="490"/>
      <c r="D1443" s="617"/>
      <c r="E1443" s="131"/>
      <c r="F1443" s="618"/>
      <c r="G1443" s="618"/>
      <c r="H1443" s="618"/>
      <c r="I1443" s="619"/>
      <c r="J1443" s="619"/>
      <c r="K1443" s="603"/>
      <c r="L1443" s="603"/>
      <c r="M1443" s="603"/>
      <c r="N1443" s="553"/>
      <c r="O1443" s="603"/>
      <c r="P1443" s="603"/>
      <c r="Q1443" s="603"/>
      <c r="R1443" s="620"/>
      <c r="S1443" s="553"/>
      <c r="T1443" s="553"/>
      <c r="U1443" s="621"/>
      <c r="V1443" s="553"/>
      <c r="W1443" s="624"/>
      <c r="Y1443" s="443"/>
    </row>
    <row r="1444" ht="15.75" customHeight="1">
      <c r="A1444" s="622"/>
      <c r="B1444" s="623"/>
      <c r="C1444" s="490"/>
      <c r="D1444" s="617"/>
      <c r="E1444" s="131"/>
      <c r="F1444" s="618"/>
      <c r="G1444" s="618"/>
      <c r="H1444" s="618"/>
      <c r="I1444" s="619"/>
      <c r="J1444" s="619"/>
      <c r="K1444" s="603"/>
      <c r="L1444" s="603"/>
      <c r="M1444" s="603"/>
      <c r="N1444" s="553"/>
      <c r="O1444" s="603"/>
      <c r="P1444" s="603"/>
      <c r="Q1444" s="603"/>
      <c r="R1444" s="620"/>
      <c r="S1444" s="553"/>
      <c r="T1444" s="553"/>
      <c r="U1444" s="621"/>
      <c r="V1444" s="553"/>
      <c r="W1444" s="624"/>
      <c r="Y1444" s="443"/>
    </row>
    <row r="1445" ht="15.75" customHeight="1">
      <c r="A1445" s="622"/>
      <c r="B1445" s="623"/>
      <c r="C1445" s="490"/>
      <c r="D1445" s="617"/>
      <c r="E1445" s="131"/>
      <c r="F1445" s="618"/>
      <c r="G1445" s="618"/>
      <c r="H1445" s="618"/>
      <c r="I1445" s="619"/>
      <c r="J1445" s="619"/>
      <c r="K1445" s="603"/>
      <c r="L1445" s="603"/>
      <c r="M1445" s="603"/>
      <c r="N1445" s="553"/>
      <c r="O1445" s="603"/>
      <c r="P1445" s="603"/>
      <c r="Q1445" s="603"/>
      <c r="R1445" s="620"/>
      <c r="S1445" s="553"/>
      <c r="T1445" s="553"/>
      <c r="U1445" s="621"/>
      <c r="V1445" s="553"/>
      <c r="W1445" s="624"/>
      <c r="Y1445" s="443"/>
    </row>
    <row r="1446" ht="15.75" customHeight="1">
      <c r="A1446" s="622"/>
      <c r="B1446" s="623"/>
      <c r="C1446" s="490"/>
      <c r="D1446" s="617"/>
      <c r="E1446" s="131"/>
      <c r="F1446" s="618"/>
      <c r="G1446" s="618"/>
      <c r="H1446" s="618"/>
      <c r="I1446" s="619"/>
      <c r="J1446" s="619"/>
      <c r="K1446" s="603"/>
      <c r="L1446" s="603"/>
      <c r="M1446" s="603"/>
      <c r="N1446" s="553"/>
      <c r="O1446" s="603"/>
      <c r="P1446" s="603"/>
      <c r="Q1446" s="603"/>
      <c r="R1446" s="620"/>
      <c r="S1446" s="553"/>
      <c r="T1446" s="553"/>
      <c r="U1446" s="621"/>
      <c r="V1446" s="553"/>
      <c r="W1446" s="624"/>
      <c r="Y1446" s="443"/>
    </row>
    <row r="1447" ht="15.75" customHeight="1">
      <c r="A1447" s="622"/>
      <c r="B1447" s="623"/>
      <c r="C1447" s="490"/>
      <c r="D1447" s="617"/>
      <c r="E1447" s="131"/>
      <c r="F1447" s="618"/>
      <c r="G1447" s="618"/>
      <c r="H1447" s="618"/>
      <c r="I1447" s="619"/>
      <c r="J1447" s="619"/>
      <c r="K1447" s="603"/>
      <c r="L1447" s="603"/>
      <c r="M1447" s="603"/>
      <c r="N1447" s="553"/>
      <c r="O1447" s="603"/>
      <c r="P1447" s="603"/>
      <c r="Q1447" s="603"/>
      <c r="R1447" s="620"/>
      <c r="S1447" s="553"/>
      <c r="T1447" s="553"/>
      <c r="U1447" s="621"/>
      <c r="V1447" s="553"/>
      <c r="W1447" s="624"/>
      <c r="Y1447" s="443"/>
    </row>
    <row r="1448" ht="15.75" customHeight="1">
      <c r="A1448" s="622"/>
      <c r="B1448" s="623"/>
      <c r="C1448" s="490"/>
      <c r="D1448" s="617"/>
      <c r="E1448" s="131"/>
      <c r="F1448" s="618"/>
      <c r="G1448" s="618"/>
      <c r="H1448" s="618"/>
      <c r="I1448" s="619"/>
      <c r="J1448" s="619"/>
      <c r="K1448" s="603"/>
      <c r="L1448" s="603"/>
      <c r="M1448" s="603"/>
      <c r="N1448" s="553"/>
      <c r="O1448" s="603"/>
      <c r="P1448" s="603"/>
      <c r="Q1448" s="603"/>
      <c r="R1448" s="620"/>
      <c r="S1448" s="553"/>
      <c r="T1448" s="553"/>
      <c r="U1448" s="621"/>
      <c r="V1448" s="553"/>
      <c r="W1448" s="624"/>
      <c r="Y1448" s="443"/>
    </row>
    <row r="1449" ht="15.75" customHeight="1">
      <c r="A1449" s="622"/>
      <c r="B1449" s="623"/>
      <c r="C1449" s="490"/>
      <c r="D1449" s="617"/>
      <c r="E1449" s="131"/>
      <c r="F1449" s="618"/>
      <c r="G1449" s="618"/>
      <c r="H1449" s="618"/>
      <c r="I1449" s="619"/>
      <c r="J1449" s="619"/>
      <c r="K1449" s="603"/>
      <c r="L1449" s="603"/>
      <c r="M1449" s="603"/>
      <c r="N1449" s="553"/>
      <c r="O1449" s="603"/>
      <c r="P1449" s="603"/>
      <c r="Q1449" s="603"/>
      <c r="R1449" s="620"/>
      <c r="S1449" s="553"/>
      <c r="T1449" s="553"/>
      <c r="U1449" s="621"/>
      <c r="V1449" s="553"/>
      <c r="W1449" s="624"/>
      <c r="Y1449" s="443"/>
    </row>
    <row r="1450" ht="15.75" customHeight="1">
      <c r="A1450" s="622"/>
      <c r="B1450" s="623"/>
      <c r="C1450" s="490"/>
      <c r="D1450" s="617"/>
      <c r="E1450" s="131"/>
      <c r="F1450" s="618"/>
      <c r="G1450" s="618"/>
      <c r="H1450" s="618"/>
      <c r="I1450" s="619"/>
      <c r="J1450" s="619"/>
      <c r="K1450" s="603"/>
      <c r="L1450" s="603"/>
      <c r="M1450" s="603"/>
      <c r="N1450" s="553"/>
      <c r="O1450" s="603"/>
      <c r="P1450" s="603"/>
      <c r="Q1450" s="603"/>
      <c r="R1450" s="620"/>
      <c r="S1450" s="553"/>
      <c r="T1450" s="553"/>
      <c r="U1450" s="621"/>
      <c r="V1450" s="553"/>
      <c r="W1450" s="624"/>
      <c r="Y1450" s="443"/>
    </row>
    <row r="1451" ht="15.75" customHeight="1">
      <c r="A1451" s="622"/>
      <c r="B1451" s="623"/>
      <c r="C1451" s="490"/>
      <c r="D1451" s="617"/>
      <c r="E1451" s="131"/>
      <c r="F1451" s="618"/>
      <c r="G1451" s="618"/>
      <c r="H1451" s="618"/>
      <c r="I1451" s="619"/>
      <c r="J1451" s="619"/>
      <c r="K1451" s="603"/>
      <c r="L1451" s="603"/>
      <c r="M1451" s="603"/>
      <c r="N1451" s="553"/>
      <c r="O1451" s="603"/>
      <c r="P1451" s="603"/>
      <c r="Q1451" s="603"/>
      <c r="R1451" s="620"/>
      <c r="S1451" s="553"/>
      <c r="T1451" s="553"/>
      <c r="U1451" s="621"/>
      <c r="V1451" s="553"/>
      <c r="W1451" s="624"/>
      <c r="Y1451" s="443"/>
    </row>
    <row r="1452" ht="15.75" customHeight="1">
      <c r="A1452" s="622"/>
      <c r="B1452" s="623"/>
      <c r="C1452" s="490"/>
      <c r="D1452" s="617"/>
      <c r="E1452" s="131"/>
      <c r="F1452" s="618"/>
      <c r="G1452" s="618"/>
      <c r="H1452" s="618"/>
      <c r="I1452" s="619"/>
      <c r="J1452" s="619"/>
      <c r="K1452" s="603"/>
      <c r="L1452" s="603"/>
      <c r="M1452" s="603"/>
      <c r="N1452" s="553"/>
      <c r="O1452" s="603"/>
      <c r="P1452" s="603"/>
      <c r="Q1452" s="603"/>
      <c r="R1452" s="620"/>
      <c r="S1452" s="553"/>
      <c r="T1452" s="553"/>
      <c r="U1452" s="621"/>
      <c r="V1452" s="553"/>
      <c r="W1452" s="624"/>
      <c r="Y1452" s="443"/>
    </row>
    <row r="1453" ht="15.75" customHeight="1">
      <c r="A1453" s="622"/>
      <c r="B1453" s="623"/>
      <c r="C1453" s="490"/>
      <c r="D1453" s="617"/>
      <c r="E1453" s="131"/>
      <c r="F1453" s="618"/>
      <c r="G1453" s="618"/>
      <c r="H1453" s="618"/>
      <c r="I1453" s="619"/>
      <c r="J1453" s="619"/>
      <c r="K1453" s="603"/>
      <c r="L1453" s="603"/>
      <c r="M1453" s="603"/>
      <c r="N1453" s="553"/>
      <c r="O1453" s="603"/>
      <c r="P1453" s="603"/>
      <c r="Q1453" s="603"/>
      <c r="R1453" s="620"/>
      <c r="S1453" s="553"/>
      <c r="T1453" s="553"/>
      <c r="U1453" s="621"/>
      <c r="V1453" s="553"/>
      <c r="W1453" s="624"/>
      <c r="Y1453" s="443"/>
    </row>
    <row r="1454" ht="15.75" customHeight="1">
      <c r="A1454" s="622"/>
      <c r="B1454" s="623"/>
      <c r="C1454" s="490"/>
      <c r="D1454" s="617"/>
      <c r="E1454" s="131"/>
      <c r="F1454" s="618"/>
      <c r="G1454" s="618"/>
      <c r="H1454" s="618"/>
      <c r="I1454" s="619"/>
      <c r="J1454" s="619"/>
      <c r="K1454" s="603"/>
      <c r="L1454" s="603"/>
      <c r="M1454" s="603"/>
      <c r="N1454" s="553"/>
      <c r="O1454" s="603"/>
      <c r="P1454" s="603"/>
      <c r="Q1454" s="603"/>
      <c r="R1454" s="620"/>
      <c r="S1454" s="553"/>
      <c r="T1454" s="553"/>
      <c r="U1454" s="621"/>
      <c r="V1454" s="553"/>
      <c r="W1454" s="624"/>
      <c r="Y1454" s="443"/>
    </row>
    <row r="1455" ht="15.75" customHeight="1">
      <c r="A1455" s="622"/>
      <c r="B1455" s="623"/>
      <c r="C1455" s="490"/>
      <c r="D1455" s="617"/>
      <c r="E1455" s="131"/>
      <c r="F1455" s="618"/>
      <c r="G1455" s="618"/>
      <c r="H1455" s="618"/>
      <c r="I1455" s="619"/>
      <c r="J1455" s="619"/>
      <c r="K1455" s="603"/>
      <c r="L1455" s="603"/>
      <c r="M1455" s="603"/>
      <c r="N1455" s="553"/>
      <c r="O1455" s="603"/>
      <c r="P1455" s="603"/>
      <c r="Q1455" s="603"/>
      <c r="R1455" s="620"/>
      <c r="S1455" s="553"/>
      <c r="T1455" s="553"/>
      <c r="U1455" s="621"/>
      <c r="V1455" s="553"/>
      <c r="W1455" s="624"/>
      <c r="Y1455" s="443"/>
    </row>
    <row r="1456" ht="15.75" customHeight="1">
      <c r="A1456" s="622"/>
      <c r="B1456" s="623"/>
      <c r="C1456" s="490"/>
      <c r="D1456" s="617"/>
      <c r="E1456" s="131"/>
      <c r="F1456" s="618"/>
      <c r="G1456" s="618"/>
      <c r="H1456" s="618"/>
      <c r="I1456" s="619"/>
      <c r="J1456" s="619"/>
      <c r="K1456" s="603"/>
      <c r="L1456" s="603"/>
      <c r="M1456" s="603"/>
      <c r="N1456" s="553"/>
      <c r="O1456" s="603"/>
      <c r="P1456" s="603"/>
      <c r="Q1456" s="603"/>
      <c r="R1456" s="620"/>
      <c r="S1456" s="553"/>
      <c r="T1456" s="553"/>
      <c r="U1456" s="621"/>
      <c r="V1456" s="553"/>
      <c r="W1456" s="624"/>
      <c r="Y1456" s="443"/>
    </row>
    <row r="1457" ht="15.75" customHeight="1">
      <c r="A1457" s="622"/>
      <c r="B1457" s="623"/>
      <c r="C1457" s="490"/>
      <c r="D1457" s="617"/>
      <c r="E1457" s="131"/>
      <c r="F1457" s="618"/>
      <c r="G1457" s="618"/>
      <c r="H1457" s="618"/>
      <c r="I1457" s="619"/>
      <c r="J1457" s="619"/>
      <c r="K1457" s="603"/>
      <c r="L1457" s="603"/>
      <c r="M1457" s="603"/>
      <c r="N1457" s="553"/>
      <c r="O1457" s="603"/>
      <c r="P1457" s="603"/>
      <c r="Q1457" s="603"/>
      <c r="R1457" s="620"/>
      <c r="S1457" s="553"/>
      <c r="T1457" s="553"/>
      <c r="U1457" s="621"/>
      <c r="V1457" s="553"/>
      <c r="W1457" s="624"/>
      <c r="Y1457" s="443"/>
    </row>
    <row r="1458" ht="15.75" customHeight="1">
      <c r="A1458" s="622"/>
      <c r="B1458" s="623"/>
      <c r="C1458" s="490"/>
      <c r="D1458" s="617"/>
      <c r="E1458" s="131"/>
      <c r="F1458" s="618"/>
      <c r="G1458" s="618"/>
      <c r="H1458" s="618"/>
      <c r="I1458" s="619"/>
      <c r="J1458" s="619"/>
      <c r="K1458" s="603"/>
      <c r="L1458" s="603"/>
      <c r="M1458" s="603"/>
      <c r="N1458" s="553"/>
      <c r="O1458" s="603"/>
      <c r="P1458" s="603"/>
      <c r="Q1458" s="603"/>
      <c r="R1458" s="620"/>
      <c r="S1458" s="553"/>
      <c r="T1458" s="553"/>
      <c r="U1458" s="621"/>
      <c r="V1458" s="553"/>
      <c r="W1458" s="624"/>
      <c r="Y1458" s="443"/>
    </row>
    <row r="1459" ht="15.75" customHeight="1">
      <c r="A1459" s="622"/>
      <c r="B1459" s="623"/>
      <c r="C1459" s="490"/>
      <c r="D1459" s="617"/>
      <c r="E1459" s="131"/>
      <c r="F1459" s="618"/>
      <c r="G1459" s="618"/>
      <c r="H1459" s="618"/>
      <c r="I1459" s="619"/>
      <c r="J1459" s="619"/>
      <c r="K1459" s="603"/>
      <c r="L1459" s="603"/>
      <c r="M1459" s="603"/>
      <c r="N1459" s="553"/>
      <c r="O1459" s="603"/>
      <c r="P1459" s="603"/>
      <c r="Q1459" s="603"/>
      <c r="R1459" s="620"/>
      <c r="S1459" s="553"/>
      <c r="T1459" s="553"/>
      <c r="U1459" s="621"/>
      <c r="V1459" s="553"/>
      <c r="W1459" s="624"/>
      <c r="Y1459" s="443"/>
    </row>
    <row r="1460" ht="15.75" customHeight="1">
      <c r="A1460" s="622"/>
      <c r="B1460" s="623"/>
      <c r="C1460" s="490"/>
      <c r="D1460" s="617"/>
      <c r="E1460" s="131"/>
      <c r="F1460" s="618"/>
      <c r="G1460" s="618"/>
      <c r="H1460" s="618"/>
      <c r="I1460" s="619"/>
      <c r="J1460" s="619"/>
      <c r="K1460" s="603"/>
      <c r="L1460" s="603"/>
      <c r="M1460" s="603"/>
      <c r="N1460" s="553"/>
      <c r="O1460" s="603"/>
      <c r="P1460" s="603"/>
      <c r="Q1460" s="603"/>
      <c r="R1460" s="620"/>
      <c r="S1460" s="553"/>
      <c r="T1460" s="553"/>
      <c r="U1460" s="621"/>
      <c r="V1460" s="553"/>
      <c r="W1460" s="624"/>
      <c r="Y1460" s="443"/>
    </row>
    <row r="1461" ht="15.75" customHeight="1">
      <c r="A1461" s="622"/>
      <c r="B1461" s="623"/>
      <c r="C1461" s="490"/>
      <c r="D1461" s="617"/>
      <c r="E1461" s="131"/>
      <c r="F1461" s="618"/>
      <c r="G1461" s="618"/>
      <c r="H1461" s="618"/>
      <c r="I1461" s="619"/>
      <c r="J1461" s="619"/>
      <c r="K1461" s="603"/>
      <c r="L1461" s="603"/>
      <c r="M1461" s="603"/>
      <c r="N1461" s="553"/>
      <c r="O1461" s="603"/>
      <c r="P1461" s="603"/>
      <c r="Q1461" s="603"/>
      <c r="R1461" s="620"/>
      <c r="S1461" s="553"/>
      <c r="T1461" s="553"/>
      <c r="U1461" s="621"/>
      <c r="V1461" s="553"/>
      <c r="W1461" s="624"/>
      <c r="Y1461" s="443"/>
    </row>
    <row r="1462" ht="15.75" customHeight="1">
      <c r="A1462" s="622"/>
      <c r="B1462" s="623"/>
      <c r="C1462" s="490"/>
      <c r="D1462" s="617"/>
      <c r="E1462" s="131"/>
      <c r="F1462" s="618"/>
      <c r="G1462" s="618"/>
      <c r="H1462" s="618"/>
      <c r="I1462" s="619"/>
      <c r="J1462" s="619"/>
      <c r="K1462" s="603"/>
      <c r="L1462" s="603"/>
      <c r="M1462" s="603"/>
      <c r="N1462" s="553"/>
      <c r="O1462" s="603"/>
      <c r="P1462" s="603"/>
      <c r="Q1462" s="603"/>
      <c r="R1462" s="620"/>
      <c r="S1462" s="553"/>
      <c r="T1462" s="553"/>
      <c r="U1462" s="621"/>
      <c r="V1462" s="553"/>
      <c r="W1462" s="624"/>
      <c r="Y1462" s="443"/>
    </row>
    <row r="1463" ht="15.75" customHeight="1">
      <c r="A1463" s="622"/>
      <c r="B1463" s="623"/>
      <c r="C1463" s="490"/>
      <c r="D1463" s="617"/>
      <c r="E1463" s="131"/>
      <c r="F1463" s="618"/>
      <c r="G1463" s="618"/>
      <c r="H1463" s="618"/>
      <c r="I1463" s="619"/>
      <c r="J1463" s="619"/>
      <c r="K1463" s="603"/>
      <c r="L1463" s="603"/>
      <c r="M1463" s="603"/>
      <c r="N1463" s="553"/>
      <c r="O1463" s="603"/>
      <c r="P1463" s="603"/>
      <c r="Q1463" s="603"/>
      <c r="R1463" s="620"/>
      <c r="S1463" s="553"/>
      <c r="T1463" s="553"/>
      <c r="U1463" s="621"/>
      <c r="V1463" s="553"/>
      <c r="W1463" s="624"/>
      <c r="Y1463" s="443"/>
    </row>
    <row r="1464" ht="15.75" customHeight="1">
      <c r="A1464" s="622"/>
      <c r="B1464" s="623"/>
      <c r="C1464" s="490"/>
      <c r="D1464" s="617"/>
      <c r="E1464" s="131"/>
      <c r="F1464" s="618"/>
      <c r="G1464" s="618"/>
      <c r="H1464" s="618"/>
      <c r="I1464" s="619"/>
      <c r="J1464" s="619"/>
      <c r="K1464" s="603"/>
      <c r="L1464" s="603"/>
      <c r="M1464" s="603"/>
      <c r="N1464" s="553"/>
      <c r="O1464" s="603"/>
      <c r="P1464" s="603"/>
      <c r="Q1464" s="603"/>
      <c r="R1464" s="620"/>
      <c r="S1464" s="553"/>
      <c r="T1464" s="553"/>
      <c r="U1464" s="621"/>
      <c r="V1464" s="553"/>
      <c r="W1464" s="624"/>
      <c r="Y1464" s="443"/>
    </row>
    <row r="1465" ht="15.75" customHeight="1">
      <c r="A1465" s="622"/>
      <c r="B1465" s="623"/>
      <c r="C1465" s="490"/>
      <c r="D1465" s="617"/>
      <c r="E1465" s="131"/>
      <c r="F1465" s="618"/>
      <c r="G1465" s="618"/>
      <c r="H1465" s="618"/>
      <c r="I1465" s="619"/>
      <c r="J1465" s="619"/>
      <c r="K1465" s="603"/>
      <c r="L1465" s="603"/>
      <c r="M1465" s="603"/>
      <c r="N1465" s="553"/>
      <c r="O1465" s="603"/>
      <c r="P1465" s="603"/>
      <c r="Q1465" s="603"/>
      <c r="R1465" s="620"/>
      <c r="S1465" s="553"/>
      <c r="T1465" s="553"/>
      <c r="U1465" s="621"/>
      <c r="V1465" s="553"/>
      <c r="W1465" s="624"/>
      <c r="Y1465" s="443"/>
    </row>
    <row r="1466" ht="15.75" customHeight="1">
      <c r="A1466" s="622"/>
      <c r="B1466" s="623"/>
      <c r="C1466" s="490"/>
      <c r="D1466" s="617"/>
      <c r="E1466" s="131"/>
      <c r="F1466" s="618"/>
      <c r="G1466" s="618"/>
      <c r="H1466" s="618"/>
      <c r="I1466" s="619"/>
      <c r="J1466" s="619"/>
      <c r="K1466" s="603"/>
      <c r="L1466" s="603"/>
      <c r="M1466" s="603"/>
      <c r="N1466" s="553"/>
      <c r="O1466" s="603"/>
      <c r="P1466" s="603"/>
      <c r="Q1466" s="603"/>
      <c r="R1466" s="620"/>
      <c r="S1466" s="553"/>
      <c r="T1466" s="553"/>
      <c r="U1466" s="621"/>
      <c r="V1466" s="553"/>
      <c r="W1466" s="624"/>
      <c r="Y1466" s="443"/>
    </row>
    <row r="1467" ht="15.75" customHeight="1">
      <c r="A1467" s="622"/>
      <c r="B1467" s="623"/>
      <c r="C1467" s="490"/>
      <c r="D1467" s="617"/>
      <c r="E1467" s="131"/>
      <c r="F1467" s="618"/>
      <c r="G1467" s="618"/>
      <c r="H1467" s="618"/>
      <c r="I1467" s="619"/>
      <c r="J1467" s="619"/>
      <c r="K1467" s="603"/>
      <c r="L1467" s="603"/>
      <c r="M1467" s="603"/>
      <c r="N1467" s="553"/>
      <c r="O1467" s="603"/>
      <c r="P1467" s="603"/>
      <c r="Q1467" s="603"/>
      <c r="R1467" s="620"/>
      <c r="S1467" s="553"/>
      <c r="T1467" s="553"/>
      <c r="U1467" s="621"/>
      <c r="V1467" s="553"/>
      <c r="W1467" s="624"/>
      <c r="Y1467" s="443"/>
    </row>
    <row r="1468" ht="15.75" customHeight="1">
      <c r="A1468" s="622"/>
      <c r="B1468" s="623"/>
      <c r="C1468" s="490"/>
      <c r="D1468" s="617"/>
      <c r="E1468" s="131"/>
      <c r="F1468" s="618"/>
      <c r="G1468" s="618"/>
      <c r="H1468" s="618"/>
      <c r="I1468" s="619"/>
      <c r="J1468" s="619"/>
      <c r="K1468" s="603"/>
      <c r="L1468" s="603"/>
      <c r="M1468" s="603"/>
      <c r="N1468" s="553"/>
      <c r="O1468" s="603"/>
      <c r="P1468" s="603"/>
      <c r="Q1468" s="603"/>
      <c r="R1468" s="620"/>
      <c r="S1468" s="553"/>
      <c r="T1468" s="553"/>
      <c r="U1468" s="621"/>
      <c r="V1468" s="553"/>
      <c r="W1468" s="624"/>
      <c r="Y1468" s="443"/>
    </row>
    <row r="1469" ht="15.75" customHeight="1">
      <c r="A1469" s="622"/>
      <c r="B1469" s="623"/>
      <c r="C1469" s="490"/>
      <c r="D1469" s="617"/>
      <c r="E1469" s="131"/>
      <c r="F1469" s="618"/>
      <c r="G1469" s="618"/>
      <c r="H1469" s="618"/>
      <c r="I1469" s="619"/>
      <c r="J1469" s="619"/>
      <c r="K1469" s="603"/>
      <c r="L1469" s="603"/>
      <c r="M1469" s="603"/>
      <c r="N1469" s="553"/>
      <c r="O1469" s="603"/>
      <c r="P1469" s="603"/>
      <c r="Q1469" s="603"/>
      <c r="R1469" s="620"/>
      <c r="S1469" s="553"/>
      <c r="T1469" s="553"/>
      <c r="U1469" s="621"/>
      <c r="V1469" s="553"/>
      <c r="W1469" s="624"/>
      <c r="Y1469" s="443"/>
    </row>
    <row r="1470" ht="15.75" customHeight="1">
      <c r="A1470" s="622"/>
      <c r="B1470" s="623"/>
      <c r="C1470" s="490"/>
      <c r="D1470" s="617"/>
      <c r="E1470" s="131"/>
      <c r="F1470" s="618"/>
      <c r="G1470" s="618"/>
      <c r="H1470" s="618"/>
      <c r="I1470" s="619"/>
      <c r="J1470" s="619"/>
      <c r="K1470" s="603"/>
      <c r="L1470" s="603"/>
      <c r="M1470" s="603"/>
      <c r="N1470" s="553"/>
      <c r="O1470" s="603"/>
      <c r="P1470" s="603"/>
      <c r="Q1470" s="603"/>
      <c r="R1470" s="620"/>
      <c r="S1470" s="553"/>
      <c r="T1470" s="553"/>
      <c r="U1470" s="621"/>
      <c r="V1470" s="553"/>
      <c r="W1470" s="624"/>
      <c r="Y1470" s="443"/>
    </row>
    <row r="1471" ht="15.75" customHeight="1">
      <c r="A1471" s="622"/>
      <c r="B1471" s="623"/>
      <c r="C1471" s="490"/>
      <c r="D1471" s="617"/>
      <c r="E1471" s="131"/>
      <c r="F1471" s="618"/>
      <c r="G1471" s="618"/>
      <c r="H1471" s="618"/>
      <c r="I1471" s="619"/>
      <c r="J1471" s="619"/>
      <c r="K1471" s="603"/>
      <c r="L1471" s="603"/>
      <c r="M1471" s="603"/>
      <c r="N1471" s="553"/>
      <c r="O1471" s="603"/>
      <c r="P1471" s="603"/>
      <c r="Q1471" s="603"/>
      <c r="R1471" s="620"/>
      <c r="S1471" s="553"/>
      <c r="T1471" s="553"/>
      <c r="U1471" s="621"/>
      <c r="V1471" s="553"/>
      <c r="W1471" s="624"/>
      <c r="Y1471" s="443"/>
    </row>
    <row r="1472" ht="15.75" customHeight="1">
      <c r="A1472" s="622"/>
      <c r="B1472" s="623"/>
      <c r="C1472" s="490"/>
      <c r="D1472" s="617"/>
      <c r="E1472" s="131"/>
      <c r="F1472" s="618"/>
      <c r="G1472" s="618"/>
      <c r="H1472" s="618"/>
      <c r="I1472" s="619"/>
      <c r="J1472" s="619"/>
      <c r="K1472" s="603"/>
      <c r="L1472" s="603"/>
      <c r="M1472" s="603"/>
      <c r="N1472" s="553"/>
      <c r="O1472" s="603"/>
      <c r="P1472" s="603"/>
      <c r="Q1472" s="603"/>
      <c r="R1472" s="620"/>
      <c r="S1472" s="553"/>
      <c r="T1472" s="553"/>
      <c r="U1472" s="621"/>
      <c r="V1472" s="553"/>
      <c r="W1472" s="624"/>
      <c r="Y1472" s="443"/>
    </row>
    <row r="1473" ht="15.75" customHeight="1">
      <c r="A1473" s="622"/>
      <c r="B1473" s="623"/>
      <c r="C1473" s="490"/>
      <c r="D1473" s="617"/>
      <c r="E1473" s="131"/>
      <c r="F1473" s="618"/>
      <c r="G1473" s="618"/>
      <c r="H1473" s="618"/>
      <c r="I1473" s="619"/>
      <c r="J1473" s="619"/>
      <c r="K1473" s="603"/>
      <c r="L1473" s="603"/>
      <c r="M1473" s="603"/>
      <c r="N1473" s="553"/>
      <c r="O1473" s="603"/>
      <c r="P1473" s="603"/>
      <c r="Q1473" s="603"/>
      <c r="R1473" s="620"/>
      <c r="S1473" s="553"/>
      <c r="T1473" s="553"/>
      <c r="U1473" s="621"/>
      <c r="V1473" s="553"/>
      <c r="W1473" s="624"/>
      <c r="Y1473" s="443"/>
    </row>
    <row r="1474" ht="15.75" customHeight="1">
      <c r="A1474" s="622"/>
      <c r="B1474" s="623"/>
      <c r="C1474" s="490"/>
      <c r="D1474" s="617"/>
      <c r="E1474" s="131"/>
      <c r="F1474" s="618"/>
      <c r="G1474" s="618"/>
      <c r="H1474" s="618"/>
      <c r="I1474" s="619"/>
      <c r="J1474" s="619"/>
      <c r="K1474" s="603"/>
      <c r="L1474" s="603"/>
      <c r="M1474" s="603"/>
      <c r="N1474" s="553"/>
      <c r="O1474" s="603"/>
      <c r="P1474" s="603"/>
      <c r="Q1474" s="603"/>
      <c r="R1474" s="620"/>
      <c r="S1474" s="553"/>
      <c r="T1474" s="553"/>
      <c r="U1474" s="621"/>
      <c r="V1474" s="553"/>
      <c r="W1474" s="624"/>
      <c r="Y1474" s="443"/>
    </row>
    <row r="1475" ht="15.75" customHeight="1">
      <c r="A1475" s="622"/>
      <c r="B1475" s="623"/>
      <c r="C1475" s="490"/>
      <c r="D1475" s="617"/>
      <c r="E1475" s="131"/>
      <c r="F1475" s="618"/>
      <c r="G1475" s="618"/>
      <c r="H1475" s="618"/>
      <c r="I1475" s="619"/>
      <c r="J1475" s="619"/>
      <c r="K1475" s="603"/>
      <c r="L1475" s="603"/>
      <c r="M1475" s="603"/>
      <c r="N1475" s="553"/>
      <c r="O1475" s="603"/>
      <c r="P1475" s="603"/>
      <c r="Q1475" s="603"/>
      <c r="R1475" s="620"/>
      <c r="S1475" s="553"/>
      <c r="T1475" s="553"/>
      <c r="U1475" s="621"/>
      <c r="V1475" s="553"/>
      <c r="W1475" s="624"/>
      <c r="Y1475" s="443"/>
    </row>
    <row r="1476" ht="15.75" customHeight="1">
      <c r="A1476" s="622"/>
      <c r="B1476" s="623"/>
      <c r="C1476" s="490"/>
      <c r="D1476" s="617"/>
      <c r="E1476" s="131"/>
      <c r="F1476" s="618"/>
      <c r="G1476" s="618"/>
      <c r="H1476" s="618"/>
      <c r="I1476" s="619"/>
      <c r="J1476" s="619"/>
      <c r="K1476" s="603"/>
      <c r="L1476" s="603"/>
      <c r="M1476" s="603"/>
      <c r="N1476" s="553"/>
      <c r="O1476" s="603"/>
      <c r="P1476" s="603"/>
      <c r="Q1476" s="603"/>
      <c r="R1476" s="620"/>
      <c r="S1476" s="553"/>
      <c r="T1476" s="553"/>
      <c r="U1476" s="621"/>
      <c r="V1476" s="553"/>
      <c r="W1476" s="624"/>
      <c r="Y1476" s="443"/>
    </row>
    <row r="1477" ht="15.75" customHeight="1">
      <c r="A1477" s="622"/>
      <c r="B1477" s="623"/>
      <c r="C1477" s="490"/>
      <c r="D1477" s="617"/>
      <c r="E1477" s="131"/>
      <c r="F1477" s="618"/>
      <c r="G1477" s="618"/>
      <c r="H1477" s="618"/>
      <c r="I1477" s="619"/>
      <c r="J1477" s="619"/>
      <c r="K1477" s="603"/>
      <c r="L1477" s="603"/>
      <c r="M1477" s="603"/>
      <c r="N1477" s="553"/>
      <c r="O1477" s="603"/>
      <c r="P1477" s="603"/>
      <c r="Q1477" s="603"/>
      <c r="R1477" s="620"/>
      <c r="S1477" s="553"/>
      <c r="T1477" s="553"/>
      <c r="U1477" s="621"/>
      <c r="V1477" s="553"/>
      <c r="W1477" s="624"/>
      <c r="Y1477" s="443"/>
    </row>
    <row r="1478" ht="15.75" customHeight="1">
      <c r="A1478" s="622"/>
      <c r="B1478" s="623"/>
      <c r="C1478" s="490"/>
      <c r="D1478" s="617"/>
      <c r="E1478" s="131"/>
      <c r="F1478" s="618"/>
      <c r="G1478" s="618"/>
      <c r="H1478" s="618"/>
      <c r="I1478" s="619"/>
      <c r="J1478" s="619"/>
      <c r="K1478" s="603"/>
      <c r="L1478" s="603"/>
      <c r="M1478" s="603"/>
      <c r="N1478" s="553"/>
      <c r="O1478" s="603"/>
      <c r="P1478" s="603"/>
      <c r="Q1478" s="603"/>
      <c r="R1478" s="620"/>
      <c r="S1478" s="553"/>
      <c r="T1478" s="553"/>
      <c r="U1478" s="621"/>
      <c r="V1478" s="553"/>
      <c r="W1478" s="624"/>
      <c r="Y1478" s="443"/>
    </row>
    <row r="1479" ht="15.75" customHeight="1">
      <c r="A1479" s="622"/>
      <c r="B1479" s="623"/>
      <c r="C1479" s="490"/>
      <c r="D1479" s="617"/>
      <c r="E1479" s="131"/>
      <c r="F1479" s="618"/>
      <c r="G1479" s="618"/>
      <c r="H1479" s="618"/>
      <c r="I1479" s="619"/>
      <c r="J1479" s="619"/>
      <c r="K1479" s="603"/>
      <c r="L1479" s="603"/>
      <c r="M1479" s="603"/>
      <c r="N1479" s="553"/>
      <c r="O1479" s="603"/>
      <c r="P1479" s="603"/>
      <c r="Q1479" s="603"/>
      <c r="R1479" s="620"/>
      <c r="S1479" s="553"/>
      <c r="T1479" s="553"/>
      <c r="U1479" s="621"/>
      <c r="V1479" s="553"/>
      <c r="W1479" s="624"/>
      <c r="Y1479" s="443"/>
    </row>
    <row r="1480" ht="15.75" customHeight="1">
      <c r="A1480" s="622"/>
      <c r="B1480" s="623"/>
      <c r="C1480" s="490"/>
      <c r="D1480" s="617"/>
      <c r="E1480" s="131"/>
      <c r="F1480" s="618"/>
      <c r="G1480" s="618"/>
      <c r="H1480" s="618"/>
      <c r="I1480" s="619"/>
      <c r="J1480" s="619"/>
      <c r="K1480" s="603"/>
      <c r="L1480" s="603"/>
      <c r="M1480" s="603"/>
      <c r="N1480" s="553"/>
      <c r="O1480" s="603"/>
      <c r="P1480" s="603"/>
      <c r="Q1480" s="603"/>
      <c r="R1480" s="620"/>
      <c r="S1480" s="553"/>
      <c r="T1480" s="553"/>
      <c r="U1480" s="621"/>
      <c r="V1480" s="553"/>
      <c r="W1480" s="624"/>
      <c r="Y1480" s="443"/>
    </row>
    <row r="1481" ht="15.75" customHeight="1">
      <c r="A1481" s="622"/>
      <c r="B1481" s="623"/>
      <c r="C1481" s="490"/>
      <c r="D1481" s="617"/>
      <c r="E1481" s="131"/>
      <c r="F1481" s="618"/>
      <c r="G1481" s="618"/>
      <c r="H1481" s="618"/>
      <c r="I1481" s="619"/>
      <c r="J1481" s="619"/>
      <c r="K1481" s="603"/>
      <c r="L1481" s="603"/>
      <c r="M1481" s="603"/>
      <c r="N1481" s="553"/>
      <c r="O1481" s="603"/>
      <c r="P1481" s="603"/>
      <c r="Q1481" s="603"/>
      <c r="R1481" s="620"/>
      <c r="S1481" s="553"/>
      <c r="T1481" s="553"/>
      <c r="U1481" s="621"/>
      <c r="V1481" s="553"/>
      <c r="W1481" s="624"/>
      <c r="Y1481" s="443"/>
    </row>
    <row r="1482" ht="15.75" customHeight="1">
      <c r="A1482" s="622"/>
      <c r="B1482" s="623"/>
      <c r="C1482" s="490"/>
      <c r="D1482" s="617"/>
      <c r="E1482" s="131"/>
      <c r="F1482" s="618"/>
      <c r="G1482" s="618"/>
      <c r="H1482" s="618"/>
      <c r="I1482" s="619"/>
      <c r="J1482" s="619"/>
      <c r="K1482" s="603"/>
      <c r="L1482" s="603"/>
      <c r="M1482" s="603"/>
      <c r="N1482" s="553"/>
      <c r="O1482" s="603"/>
      <c r="P1482" s="603"/>
      <c r="Q1482" s="603"/>
      <c r="R1482" s="620"/>
      <c r="S1482" s="553"/>
      <c r="T1482" s="553"/>
      <c r="U1482" s="621"/>
      <c r="V1482" s="553"/>
      <c r="W1482" s="624"/>
      <c r="Y1482" s="443"/>
    </row>
    <row r="1483" ht="15.75" customHeight="1">
      <c r="A1483" s="622"/>
      <c r="B1483" s="623"/>
      <c r="C1483" s="490"/>
      <c r="D1483" s="617"/>
      <c r="E1483" s="131"/>
      <c r="F1483" s="618"/>
      <c r="G1483" s="618"/>
      <c r="H1483" s="618"/>
      <c r="I1483" s="619"/>
      <c r="J1483" s="619"/>
      <c r="K1483" s="603"/>
      <c r="L1483" s="603"/>
      <c r="M1483" s="603"/>
      <c r="N1483" s="553"/>
      <c r="O1483" s="603"/>
      <c r="P1483" s="603"/>
      <c r="Q1483" s="603"/>
      <c r="R1483" s="620"/>
      <c r="S1483" s="553"/>
      <c r="T1483" s="553"/>
      <c r="U1483" s="621"/>
      <c r="V1483" s="553"/>
      <c r="W1483" s="624"/>
      <c r="Y1483" s="443"/>
    </row>
    <row r="1484" ht="15.75" customHeight="1">
      <c r="A1484" s="622"/>
      <c r="B1484" s="623"/>
      <c r="C1484" s="490"/>
      <c r="D1484" s="617"/>
      <c r="E1484" s="131"/>
      <c r="F1484" s="618"/>
      <c r="G1484" s="618"/>
      <c r="H1484" s="618"/>
      <c r="I1484" s="619"/>
      <c r="J1484" s="619"/>
      <c r="K1484" s="603"/>
      <c r="L1484" s="603"/>
      <c r="M1484" s="603"/>
      <c r="N1484" s="553"/>
      <c r="O1484" s="603"/>
      <c r="P1484" s="603"/>
      <c r="Q1484" s="603"/>
      <c r="R1484" s="620"/>
      <c r="S1484" s="553"/>
      <c r="T1484" s="553"/>
      <c r="U1484" s="621"/>
      <c r="V1484" s="553"/>
      <c r="W1484" s="624"/>
      <c r="Y1484" s="443"/>
    </row>
    <row r="1485" ht="15.75" customHeight="1">
      <c r="A1485" s="622"/>
      <c r="B1485" s="623"/>
      <c r="C1485" s="490"/>
      <c r="D1485" s="617"/>
      <c r="E1485" s="131"/>
      <c r="F1485" s="618"/>
      <c r="G1485" s="618"/>
      <c r="H1485" s="618"/>
      <c r="I1485" s="619"/>
      <c r="J1485" s="619"/>
      <c r="K1485" s="603"/>
      <c r="L1485" s="603"/>
      <c r="M1485" s="603"/>
      <c r="N1485" s="553"/>
      <c r="O1485" s="603"/>
      <c r="P1485" s="603"/>
      <c r="Q1485" s="603"/>
      <c r="R1485" s="620"/>
      <c r="S1485" s="553"/>
      <c r="T1485" s="553"/>
      <c r="U1485" s="621"/>
      <c r="V1485" s="553"/>
      <c r="W1485" s="624"/>
      <c r="Y1485" s="443"/>
    </row>
    <row r="1486" ht="15.75" customHeight="1">
      <c r="A1486" s="622"/>
      <c r="B1486" s="623"/>
      <c r="C1486" s="490"/>
      <c r="D1486" s="617"/>
      <c r="E1486" s="131"/>
      <c r="F1486" s="618"/>
      <c r="G1486" s="618"/>
      <c r="H1486" s="618"/>
      <c r="I1486" s="619"/>
      <c r="J1486" s="619"/>
      <c r="K1486" s="603"/>
      <c r="L1486" s="603"/>
      <c r="M1486" s="603"/>
      <c r="N1486" s="553"/>
      <c r="O1486" s="603"/>
      <c r="P1486" s="603"/>
      <c r="Q1486" s="603"/>
      <c r="R1486" s="620"/>
      <c r="S1486" s="553"/>
      <c r="T1486" s="553"/>
      <c r="U1486" s="621"/>
      <c r="V1486" s="553"/>
      <c r="W1486" s="624"/>
      <c r="Y1486" s="443"/>
    </row>
    <row r="1487" ht="15.75" customHeight="1">
      <c r="A1487" s="622"/>
      <c r="B1487" s="623"/>
      <c r="C1487" s="490"/>
      <c r="D1487" s="617"/>
      <c r="E1487" s="131"/>
      <c r="F1487" s="618"/>
      <c r="G1487" s="618"/>
      <c r="H1487" s="618"/>
      <c r="I1487" s="619"/>
      <c r="J1487" s="619"/>
      <c r="K1487" s="603"/>
      <c r="L1487" s="603"/>
      <c r="M1487" s="603"/>
      <c r="N1487" s="553"/>
      <c r="O1487" s="603"/>
      <c r="P1487" s="603"/>
      <c r="Q1487" s="603"/>
      <c r="R1487" s="620"/>
      <c r="S1487" s="553"/>
      <c r="T1487" s="553"/>
      <c r="U1487" s="621"/>
      <c r="V1487" s="553"/>
      <c r="W1487" s="624"/>
      <c r="Y1487" s="443"/>
    </row>
    <row r="1488" ht="15.75" customHeight="1">
      <c r="A1488" s="622"/>
      <c r="B1488" s="623"/>
      <c r="C1488" s="490"/>
      <c r="D1488" s="617"/>
      <c r="E1488" s="131"/>
      <c r="F1488" s="618"/>
      <c r="G1488" s="618"/>
      <c r="H1488" s="618"/>
      <c r="I1488" s="619"/>
      <c r="J1488" s="619"/>
      <c r="K1488" s="603"/>
      <c r="L1488" s="603"/>
      <c r="M1488" s="603"/>
      <c r="N1488" s="553"/>
      <c r="O1488" s="603"/>
      <c r="P1488" s="603"/>
      <c r="Q1488" s="603"/>
      <c r="R1488" s="620"/>
      <c r="S1488" s="553"/>
      <c r="T1488" s="553"/>
      <c r="U1488" s="621"/>
      <c r="V1488" s="553"/>
      <c r="W1488" s="624"/>
      <c r="Y1488" s="443"/>
    </row>
    <row r="1489" ht="15.75" customHeight="1">
      <c r="A1489" s="622"/>
      <c r="B1489" s="623"/>
      <c r="C1489" s="490"/>
      <c r="D1489" s="617"/>
      <c r="E1489" s="131"/>
      <c r="F1489" s="618"/>
      <c r="G1489" s="618"/>
      <c r="H1489" s="618"/>
      <c r="I1489" s="619"/>
      <c r="J1489" s="619"/>
      <c r="K1489" s="603"/>
      <c r="L1489" s="603"/>
      <c r="M1489" s="603"/>
      <c r="N1489" s="553"/>
      <c r="O1489" s="603"/>
      <c r="P1489" s="603"/>
      <c r="Q1489" s="603"/>
      <c r="R1489" s="620"/>
      <c r="S1489" s="553"/>
      <c r="T1489" s="553"/>
      <c r="U1489" s="621"/>
      <c r="V1489" s="553"/>
      <c r="W1489" s="624"/>
      <c r="Y1489" s="443"/>
    </row>
    <row r="1490" ht="15.75" customHeight="1">
      <c r="A1490" s="622"/>
      <c r="B1490" s="623"/>
      <c r="C1490" s="490"/>
      <c r="D1490" s="617"/>
      <c r="E1490" s="131"/>
      <c r="F1490" s="618"/>
      <c r="G1490" s="618"/>
      <c r="H1490" s="618"/>
      <c r="I1490" s="619"/>
      <c r="J1490" s="619"/>
      <c r="K1490" s="603"/>
      <c r="L1490" s="603"/>
      <c r="M1490" s="603"/>
      <c r="N1490" s="553"/>
      <c r="O1490" s="603"/>
      <c r="P1490" s="603"/>
      <c r="Q1490" s="603"/>
      <c r="R1490" s="620"/>
      <c r="S1490" s="553"/>
      <c r="T1490" s="553"/>
      <c r="U1490" s="621"/>
      <c r="V1490" s="553"/>
      <c r="W1490" s="624"/>
      <c r="Y1490" s="443"/>
    </row>
    <row r="1491" ht="15.75" customHeight="1">
      <c r="A1491" s="622"/>
      <c r="B1491" s="623"/>
      <c r="C1491" s="490"/>
      <c r="D1491" s="617"/>
      <c r="E1491" s="131"/>
      <c r="F1491" s="618"/>
      <c r="G1491" s="618"/>
      <c r="H1491" s="618"/>
      <c r="I1491" s="619"/>
      <c r="J1491" s="619"/>
      <c r="K1491" s="603"/>
      <c r="L1491" s="603"/>
      <c r="M1491" s="603"/>
      <c r="N1491" s="553"/>
      <c r="O1491" s="603"/>
      <c r="P1491" s="603"/>
      <c r="Q1491" s="603"/>
      <c r="R1491" s="620"/>
      <c r="S1491" s="553"/>
      <c r="T1491" s="553"/>
      <c r="U1491" s="621"/>
      <c r="V1491" s="553"/>
      <c r="W1491" s="624"/>
      <c r="Y1491" s="443"/>
    </row>
    <row r="1492" ht="15.75" customHeight="1">
      <c r="A1492" s="622"/>
      <c r="B1492" s="623"/>
      <c r="C1492" s="490"/>
      <c r="D1492" s="617"/>
      <c r="E1492" s="131"/>
      <c r="F1492" s="618"/>
      <c r="G1492" s="618"/>
      <c r="H1492" s="618"/>
      <c r="I1492" s="619"/>
      <c r="J1492" s="619"/>
      <c r="K1492" s="603"/>
      <c r="L1492" s="603"/>
      <c r="M1492" s="603"/>
      <c r="N1492" s="553"/>
      <c r="O1492" s="603"/>
      <c r="P1492" s="603"/>
      <c r="Q1492" s="603"/>
      <c r="R1492" s="620"/>
      <c r="S1492" s="553"/>
      <c r="T1492" s="553"/>
      <c r="U1492" s="621"/>
      <c r="V1492" s="553"/>
      <c r="W1492" s="624"/>
      <c r="Y1492" s="443"/>
    </row>
    <row r="1493" ht="15.75" customHeight="1">
      <c r="A1493" s="622"/>
      <c r="B1493" s="623"/>
      <c r="C1493" s="490"/>
      <c r="D1493" s="617"/>
      <c r="E1493" s="131"/>
      <c r="F1493" s="618"/>
      <c r="G1493" s="618"/>
      <c r="H1493" s="618"/>
      <c r="I1493" s="619"/>
      <c r="J1493" s="619"/>
      <c r="K1493" s="603"/>
      <c r="L1493" s="603"/>
      <c r="M1493" s="603"/>
      <c r="N1493" s="553"/>
      <c r="O1493" s="603"/>
      <c r="P1493" s="603"/>
      <c r="Q1493" s="603"/>
      <c r="R1493" s="620"/>
      <c r="S1493" s="553"/>
      <c r="T1493" s="553"/>
      <c r="U1493" s="621"/>
      <c r="V1493" s="553"/>
      <c r="W1493" s="624"/>
      <c r="Y1493" s="443"/>
    </row>
    <row r="1494" ht="15.75" customHeight="1">
      <c r="A1494" s="622"/>
      <c r="B1494" s="623"/>
      <c r="C1494" s="490"/>
      <c r="D1494" s="617"/>
      <c r="E1494" s="131"/>
      <c r="F1494" s="618"/>
      <c r="G1494" s="618"/>
      <c r="H1494" s="618"/>
      <c r="I1494" s="619"/>
      <c r="J1494" s="619"/>
      <c r="K1494" s="603"/>
      <c r="L1494" s="603"/>
      <c r="M1494" s="603"/>
      <c r="N1494" s="553"/>
      <c r="O1494" s="603"/>
      <c r="P1494" s="603"/>
      <c r="Q1494" s="603"/>
      <c r="R1494" s="620"/>
      <c r="S1494" s="553"/>
      <c r="T1494" s="553"/>
      <c r="U1494" s="621"/>
      <c r="V1494" s="553"/>
      <c r="W1494" s="624"/>
      <c r="Y1494" s="443"/>
    </row>
    <row r="1495" ht="15.75" customHeight="1">
      <c r="A1495" s="622"/>
      <c r="B1495" s="623"/>
      <c r="C1495" s="490"/>
      <c r="D1495" s="617"/>
      <c r="E1495" s="131"/>
      <c r="F1495" s="618"/>
      <c r="G1495" s="618"/>
      <c r="H1495" s="618"/>
      <c r="I1495" s="619"/>
      <c r="J1495" s="619"/>
      <c r="K1495" s="603"/>
      <c r="L1495" s="603"/>
      <c r="M1495" s="603"/>
      <c r="N1495" s="553"/>
      <c r="O1495" s="603"/>
      <c r="P1495" s="603"/>
      <c r="Q1495" s="603"/>
      <c r="R1495" s="620"/>
      <c r="S1495" s="553"/>
      <c r="T1495" s="553"/>
      <c r="U1495" s="621"/>
      <c r="V1495" s="553"/>
      <c r="W1495" s="624"/>
      <c r="Y1495" s="443"/>
    </row>
    <row r="1496" ht="15.75" customHeight="1">
      <c r="A1496" s="622"/>
      <c r="B1496" s="623"/>
      <c r="C1496" s="490"/>
      <c r="D1496" s="617"/>
      <c r="E1496" s="131"/>
      <c r="F1496" s="618"/>
      <c r="G1496" s="618"/>
      <c r="H1496" s="618"/>
      <c r="I1496" s="619"/>
      <c r="J1496" s="619"/>
      <c r="K1496" s="603"/>
      <c r="L1496" s="603"/>
      <c r="M1496" s="603"/>
      <c r="N1496" s="553"/>
      <c r="O1496" s="603"/>
      <c r="P1496" s="603"/>
      <c r="Q1496" s="603"/>
      <c r="R1496" s="620"/>
      <c r="S1496" s="553"/>
      <c r="T1496" s="553"/>
      <c r="U1496" s="621"/>
      <c r="V1496" s="553"/>
      <c r="W1496" s="624"/>
      <c r="Y1496" s="443"/>
    </row>
    <row r="1497" ht="15.75" customHeight="1">
      <c r="A1497" s="622"/>
      <c r="B1497" s="623"/>
      <c r="C1497" s="490"/>
      <c r="D1497" s="617"/>
      <c r="E1497" s="131"/>
      <c r="F1497" s="618"/>
      <c r="G1497" s="618"/>
      <c r="H1497" s="618"/>
      <c r="I1497" s="619"/>
      <c r="J1497" s="619"/>
      <c r="K1497" s="603"/>
      <c r="L1497" s="603"/>
      <c r="M1497" s="603"/>
      <c r="N1497" s="553"/>
      <c r="O1497" s="603"/>
      <c r="P1497" s="603"/>
      <c r="Q1497" s="603"/>
      <c r="R1497" s="620"/>
      <c r="S1497" s="553"/>
      <c r="T1497" s="553"/>
      <c r="U1497" s="621"/>
      <c r="V1497" s="553"/>
      <c r="W1497" s="624"/>
      <c r="Y1497" s="443"/>
    </row>
    <row r="1498" ht="15.75" customHeight="1">
      <c r="A1498" s="622"/>
      <c r="B1498" s="623"/>
      <c r="C1498" s="490"/>
      <c r="D1498" s="617"/>
      <c r="E1498" s="131"/>
      <c r="F1498" s="618"/>
      <c r="G1498" s="618"/>
      <c r="H1498" s="618"/>
      <c r="I1498" s="619"/>
      <c r="J1498" s="619"/>
      <c r="K1498" s="603"/>
      <c r="L1498" s="603"/>
      <c r="M1498" s="603"/>
      <c r="N1498" s="553"/>
      <c r="O1498" s="603"/>
      <c r="P1498" s="603"/>
      <c r="Q1498" s="603"/>
      <c r="R1498" s="620"/>
      <c r="S1498" s="553"/>
      <c r="T1498" s="553"/>
      <c r="U1498" s="621"/>
      <c r="V1498" s="553"/>
      <c r="W1498" s="624"/>
      <c r="Y1498" s="443"/>
    </row>
    <row r="1499" ht="15.75" customHeight="1">
      <c r="A1499" s="622"/>
      <c r="B1499" s="623"/>
      <c r="C1499" s="490"/>
      <c r="D1499" s="617"/>
      <c r="E1499" s="131"/>
      <c r="F1499" s="618"/>
      <c r="G1499" s="618"/>
      <c r="H1499" s="618"/>
      <c r="I1499" s="619"/>
      <c r="J1499" s="619"/>
      <c r="K1499" s="603"/>
      <c r="L1499" s="603"/>
      <c r="M1499" s="603"/>
      <c r="N1499" s="553"/>
      <c r="O1499" s="603"/>
      <c r="P1499" s="603"/>
      <c r="Q1499" s="603"/>
      <c r="R1499" s="620"/>
      <c r="S1499" s="553"/>
      <c r="T1499" s="553"/>
      <c r="U1499" s="621"/>
      <c r="V1499" s="553"/>
      <c r="W1499" s="624"/>
      <c r="Y1499" s="443"/>
    </row>
    <row r="1500" ht="15.75" customHeight="1">
      <c r="A1500" s="622"/>
      <c r="B1500" s="623"/>
      <c r="C1500" s="490"/>
      <c r="D1500" s="617"/>
      <c r="E1500" s="131"/>
      <c r="F1500" s="618"/>
      <c r="G1500" s="618"/>
      <c r="H1500" s="618"/>
      <c r="I1500" s="619"/>
      <c r="J1500" s="619"/>
      <c r="K1500" s="603"/>
      <c r="L1500" s="603"/>
      <c r="M1500" s="603"/>
      <c r="N1500" s="553"/>
      <c r="O1500" s="603"/>
      <c r="P1500" s="603"/>
      <c r="Q1500" s="603"/>
      <c r="R1500" s="620"/>
      <c r="S1500" s="553"/>
      <c r="T1500" s="553"/>
      <c r="U1500" s="621"/>
      <c r="V1500" s="553"/>
      <c r="W1500" s="624"/>
      <c r="Y1500" s="443"/>
    </row>
    <row r="1501" ht="15.75" customHeight="1">
      <c r="A1501" s="622"/>
      <c r="B1501" s="623"/>
      <c r="C1501" s="490"/>
      <c r="D1501" s="617"/>
      <c r="E1501" s="131"/>
      <c r="F1501" s="618"/>
      <c r="G1501" s="618"/>
      <c r="H1501" s="618"/>
      <c r="I1501" s="619"/>
      <c r="J1501" s="619"/>
      <c r="K1501" s="603"/>
      <c r="L1501" s="603"/>
      <c r="M1501" s="603"/>
      <c r="N1501" s="553"/>
      <c r="O1501" s="603"/>
      <c r="P1501" s="603"/>
      <c r="Q1501" s="603"/>
      <c r="R1501" s="620"/>
      <c r="S1501" s="553"/>
      <c r="T1501" s="553"/>
      <c r="U1501" s="621"/>
      <c r="V1501" s="553"/>
      <c r="W1501" s="624"/>
      <c r="Y1501" s="443"/>
    </row>
    <row r="1502" ht="15.75" customHeight="1">
      <c r="A1502" s="622"/>
      <c r="B1502" s="623"/>
      <c r="C1502" s="490"/>
      <c r="D1502" s="617"/>
      <c r="E1502" s="131"/>
      <c r="F1502" s="618"/>
      <c r="G1502" s="618"/>
      <c r="H1502" s="618"/>
      <c r="I1502" s="619"/>
      <c r="J1502" s="619"/>
      <c r="K1502" s="603"/>
      <c r="L1502" s="603"/>
      <c r="M1502" s="603"/>
      <c r="N1502" s="553"/>
      <c r="O1502" s="603"/>
      <c r="P1502" s="603"/>
      <c r="Q1502" s="603"/>
      <c r="R1502" s="620"/>
      <c r="S1502" s="553"/>
      <c r="T1502" s="553"/>
      <c r="U1502" s="621"/>
      <c r="V1502" s="553"/>
      <c r="W1502" s="624"/>
      <c r="Y1502" s="443"/>
    </row>
    <row r="1503" ht="15.75" customHeight="1">
      <c r="A1503" s="622"/>
      <c r="B1503" s="623"/>
      <c r="C1503" s="490"/>
      <c r="D1503" s="617"/>
      <c r="E1503" s="131"/>
      <c r="F1503" s="618"/>
      <c r="G1503" s="618"/>
      <c r="H1503" s="618"/>
      <c r="I1503" s="619"/>
      <c r="J1503" s="619"/>
      <c r="K1503" s="603"/>
      <c r="L1503" s="603"/>
      <c r="M1503" s="603"/>
      <c r="N1503" s="553"/>
      <c r="O1503" s="603"/>
      <c r="P1503" s="603"/>
      <c r="Q1503" s="603"/>
      <c r="R1503" s="620"/>
      <c r="S1503" s="553"/>
      <c r="T1503" s="553"/>
      <c r="U1503" s="621"/>
      <c r="V1503" s="553"/>
      <c r="W1503" s="624"/>
      <c r="Y1503" s="443"/>
    </row>
    <row r="1504" ht="15.75" customHeight="1">
      <c r="A1504" s="622"/>
      <c r="B1504" s="623"/>
      <c r="C1504" s="490"/>
      <c r="D1504" s="617"/>
      <c r="E1504" s="131"/>
      <c r="F1504" s="618"/>
      <c r="G1504" s="618"/>
      <c r="H1504" s="618"/>
      <c r="I1504" s="619"/>
      <c r="J1504" s="619"/>
      <c r="K1504" s="603"/>
      <c r="L1504" s="603"/>
      <c r="M1504" s="603"/>
      <c r="N1504" s="553"/>
      <c r="O1504" s="603"/>
      <c r="P1504" s="603"/>
      <c r="Q1504" s="603"/>
      <c r="R1504" s="620"/>
      <c r="S1504" s="553"/>
      <c r="T1504" s="553"/>
      <c r="U1504" s="621"/>
      <c r="V1504" s="553"/>
      <c r="W1504" s="624"/>
      <c r="Y1504" s="443"/>
    </row>
    <row r="1505" ht="15.75" customHeight="1">
      <c r="A1505" s="622"/>
      <c r="B1505" s="623"/>
      <c r="C1505" s="490"/>
      <c r="D1505" s="617"/>
      <c r="E1505" s="131"/>
      <c r="F1505" s="618"/>
      <c r="G1505" s="618"/>
      <c r="H1505" s="618"/>
      <c r="I1505" s="619"/>
      <c r="J1505" s="619"/>
      <c r="K1505" s="603"/>
      <c r="L1505" s="603"/>
      <c r="M1505" s="603"/>
      <c r="N1505" s="553"/>
      <c r="O1505" s="603"/>
      <c r="P1505" s="603"/>
      <c r="Q1505" s="603"/>
      <c r="R1505" s="620"/>
      <c r="S1505" s="553"/>
      <c r="T1505" s="553"/>
      <c r="U1505" s="621"/>
      <c r="V1505" s="553"/>
      <c r="W1505" s="624"/>
      <c r="Y1505" s="443"/>
    </row>
    <row r="1506" ht="15.75" customHeight="1">
      <c r="A1506" s="622"/>
      <c r="B1506" s="623"/>
      <c r="C1506" s="490"/>
      <c r="D1506" s="617"/>
      <c r="E1506" s="131"/>
      <c r="F1506" s="618"/>
      <c r="G1506" s="618"/>
      <c r="H1506" s="618"/>
      <c r="I1506" s="619"/>
      <c r="J1506" s="619"/>
      <c r="K1506" s="603"/>
      <c r="L1506" s="603"/>
      <c r="M1506" s="603"/>
      <c r="N1506" s="553"/>
      <c r="O1506" s="603"/>
      <c r="P1506" s="603"/>
      <c r="Q1506" s="603"/>
      <c r="R1506" s="620"/>
      <c r="S1506" s="553"/>
      <c r="T1506" s="553"/>
      <c r="U1506" s="621"/>
      <c r="V1506" s="553"/>
      <c r="W1506" s="624"/>
      <c r="Y1506" s="443"/>
    </row>
    <row r="1507" ht="15.75" customHeight="1">
      <c r="A1507" s="622"/>
      <c r="B1507" s="623"/>
      <c r="C1507" s="490"/>
      <c r="D1507" s="617"/>
      <c r="E1507" s="131"/>
      <c r="F1507" s="618"/>
      <c r="G1507" s="618"/>
      <c r="H1507" s="618"/>
      <c r="I1507" s="619"/>
      <c r="J1507" s="619"/>
      <c r="K1507" s="603"/>
      <c r="L1507" s="603"/>
      <c r="M1507" s="603"/>
      <c r="N1507" s="553"/>
      <c r="O1507" s="603"/>
      <c r="P1507" s="603"/>
      <c r="Q1507" s="603"/>
      <c r="R1507" s="620"/>
      <c r="S1507" s="553"/>
      <c r="T1507" s="553"/>
      <c r="U1507" s="621"/>
      <c r="V1507" s="553"/>
      <c r="W1507" s="624"/>
      <c r="Y1507" s="443"/>
    </row>
    <row r="1508" ht="15.75" customHeight="1">
      <c r="A1508" s="622"/>
      <c r="B1508" s="623"/>
      <c r="C1508" s="490"/>
      <c r="D1508" s="617"/>
      <c r="E1508" s="131"/>
      <c r="F1508" s="618"/>
      <c r="G1508" s="618"/>
      <c r="H1508" s="618"/>
      <c r="I1508" s="619"/>
      <c r="J1508" s="619"/>
      <c r="K1508" s="603"/>
      <c r="L1508" s="603"/>
      <c r="M1508" s="603"/>
      <c r="N1508" s="553"/>
      <c r="O1508" s="603"/>
      <c r="P1508" s="603"/>
      <c r="Q1508" s="603"/>
      <c r="R1508" s="620"/>
      <c r="S1508" s="553"/>
      <c r="T1508" s="553"/>
      <c r="U1508" s="621"/>
      <c r="V1508" s="553"/>
      <c r="W1508" s="624"/>
      <c r="Y1508" s="443"/>
    </row>
    <row r="1509" ht="15.75" customHeight="1">
      <c r="A1509" s="622"/>
      <c r="B1509" s="623"/>
      <c r="C1509" s="490"/>
      <c r="D1509" s="617"/>
      <c r="E1509" s="131"/>
      <c r="F1509" s="618"/>
      <c r="G1509" s="618"/>
      <c r="H1509" s="618"/>
      <c r="I1509" s="619"/>
      <c r="J1509" s="619"/>
      <c r="K1509" s="603"/>
      <c r="L1509" s="603"/>
      <c r="M1509" s="603"/>
      <c r="N1509" s="553"/>
      <c r="O1509" s="603"/>
      <c r="P1509" s="603"/>
      <c r="Q1509" s="603"/>
      <c r="R1509" s="620"/>
      <c r="S1509" s="553"/>
      <c r="T1509" s="553"/>
      <c r="U1509" s="621"/>
      <c r="V1509" s="553"/>
      <c r="W1509" s="624"/>
      <c r="Y1509" s="443"/>
    </row>
    <row r="1510" ht="15.75" customHeight="1">
      <c r="A1510" s="622"/>
      <c r="B1510" s="623"/>
      <c r="C1510" s="490"/>
      <c r="D1510" s="617"/>
      <c r="E1510" s="131"/>
      <c r="F1510" s="618"/>
      <c r="G1510" s="618"/>
      <c r="H1510" s="618"/>
      <c r="I1510" s="619"/>
      <c r="J1510" s="619"/>
      <c r="K1510" s="603"/>
      <c r="L1510" s="603"/>
      <c r="M1510" s="603"/>
      <c r="N1510" s="553"/>
      <c r="O1510" s="603"/>
      <c r="P1510" s="603"/>
      <c r="Q1510" s="603"/>
      <c r="R1510" s="620"/>
      <c r="S1510" s="553"/>
      <c r="T1510" s="553"/>
      <c r="U1510" s="621"/>
      <c r="V1510" s="553"/>
      <c r="W1510" s="624"/>
      <c r="Y1510" s="443"/>
    </row>
    <row r="1511" ht="15.75" customHeight="1">
      <c r="A1511" s="622"/>
      <c r="B1511" s="623"/>
      <c r="C1511" s="490"/>
      <c r="D1511" s="617"/>
      <c r="E1511" s="131"/>
      <c r="F1511" s="618"/>
      <c r="G1511" s="618"/>
      <c r="H1511" s="618"/>
      <c r="I1511" s="619"/>
      <c r="J1511" s="619"/>
      <c r="K1511" s="603"/>
      <c r="L1511" s="603"/>
      <c r="M1511" s="603"/>
      <c r="N1511" s="553"/>
      <c r="O1511" s="603"/>
      <c r="P1511" s="603"/>
      <c r="Q1511" s="603"/>
      <c r="R1511" s="620"/>
      <c r="S1511" s="553"/>
      <c r="T1511" s="553"/>
      <c r="U1511" s="621"/>
      <c r="V1511" s="553"/>
      <c r="W1511" s="624"/>
      <c r="Y1511" s="443"/>
    </row>
    <row r="1512" ht="15.75" customHeight="1">
      <c r="A1512" s="622"/>
      <c r="B1512" s="623"/>
      <c r="C1512" s="490"/>
      <c r="D1512" s="617"/>
      <c r="E1512" s="131"/>
      <c r="F1512" s="618"/>
      <c r="G1512" s="618"/>
      <c r="H1512" s="618"/>
      <c r="I1512" s="619"/>
      <c r="J1512" s="619"/>
      <c r="K1512" s="603"/>
      <c r="L1512" s="603"/>
      <c r="M1512" s="603"/>
      <c r="N1512" s="553"/>
      <c r="O1512" s="603"/>
      <c r="P1512" s="603"/>
      <c r="Q1512" s="603"/>
      <c r="R1512" s="620"/>
      <c r="S1512" s="553"/>
      <c r="T1512" s="553"/>
      <c r="U1512" s="621"/>
      <c r="V1512" s="553"/>
      <c r="W1512" s="624"/>
      <c r="Y1512" s="443"/>
    </row>
    <row r="1513" ht="15.75" customHeight="1">
      <c r="A1513" s="622"/>
      <c r="B1513" s="623"/>
      <c r="C1513" s="490"/>
      <c r="D1513" s="617"/>
      <c r="E1513" s="131"/>
      <c r="F1513" s="618"/>
      <c r="G1513" s="618"/>
      <c r="H1513" s="618"/>
      <c r="I1513" s="619"/>
      <c r="J1513" s="619"/>
      <c r="K1513" s="603"/>
      <c r="L1513" s="603"/>
      <c r="M1513" s="603"/>
      <c r="N1513" s="553"/>
      <c r="O1513" s="603"/>
      <c r="P1513" s="603"/>
      <c r="Q1513" s="603"/>
      <c r="R1513" s="620"/>
      <c r="S1513" s="553"/>
      <c r="T1513" s="553"/>
      <c r="U1513" s="621"/>
      <c r="V1513" s="553"/>
      <c r="W1513" s="624"/>
      <c r="Y1513" s="443"/>
    </row>
    <row r="1514" ht="15.75" customHeight="1">
      <c r="A1514" s="622"/>
      <c r="B1514" s="623"/>
      <c r="C1514" s="490"/>
      <c r="D1514" s="617"/>
      <c r="E1514" s="131"/>
      <c r="F1514" s="618"/>
      <c r="G1514" s="618"/>
      <c r="H1514" s="618"/>
      <c r="I1514" s="619"/>
      <c r="J1514" s="619"/>
      <c r="K1514" s="603"/>
      <c r="L1514" s="603"/>
      <c r="M1514" s="603"/>
      <c r="N1514" s="553"/>
      <c r="O1514" s="603"/>
      <c r="P1514" s="603"/>
      <c r="Q1514" s="603"/>
      <c r="R1514" s="620"/>
      <c r="S1514" s="553"/>
      <c r="T1514" s="553"/>
      <c r="U1514" s="621"/>
      <c r="V1514" s="553"/>
      <c r="W1514" s="624"/>
      <c r="Y1514" s="443"/>
    </row>
    <row r="1515" ht="15.75" customHeight="1">
      <c r="A1515" s="622"/>
      <c r="B1515" s="623"/>
      <c r="C1515" s="490"/>
      <c r="D1515" s="617"/>
      <c r="E1515" s="131"/>
      <c r="F1515" s="618"/>
      <c r="G1515" s="618"/>
      <c r="H1515" s="618"/>
      <c r="I1515" s="619"/>
      <c r="J1515" s="619"/>
      <c r="K1515" s="603"/>
      <c r="L1515" s="603"/>
      <c r="M1515" s="603"/>
      <c r="N1515" s="553"/>
      <c r="O1515" s="603"/>
      <c r="P1515" s="603"/>
      <c r="Q1515" s="603"/>
      <c r="R1515" s="620"/>
      <c r="S1515" s="553"/>
      <c r="T1515" s="553"/>
      <c r="U1515" s="621"/>
      <c r="V1515" s="553"/>
      <c r="W1515" s="624"/>
      <c r="Y1515" s="443"/>
    </row>
    <row r="1516" ht="15.75" customHeight="1">
      <c r="A1516" s="622"/>
      <c r="B1516" s="623"/>
      <c r="C1516" s="490"/>
      <c r="D1516" s="617"/>
      <c r="E1516" s="131"/>
      <c r="F1516" s="618"/>
      <c r="G1516" s="618"/>
      <c r="H1516" s="618"/>
      <c r="I1516" s="619"/>
      <c r="J1516" s="619"/>
      <c r="K1516" s="603"/>
      <c r="L1516" s="603"/>
      <c r="M1516" s="603"/>
      <c r="N1516" s="553"/>
      <c r="O1516" s="603"/>
      <c r="P1516" s="603"/>
      <c r="Q1516" s="603"/>
      <c r="R1516" s="620"/>
      <c r="S1516" s="553"/>
      <c r="T1516" s="553"/>
      <c r="U1516" s="621"/>
      <c r="V1516" s="553"/>
      <c r="W1516" s="624"/>
      <c r="Y1516" s="443"/>
    </row>
    <row r="1517" ht="15.75" customHeight="1">
      <c r="A1517" s="622"/>
      <c r="B1517" s="623"/>
      <c r="C1517" s="490"/>
      <c r="D1517" s="617"/>
      <c r="E1517" s="131"/>
      <c r="F1517" s="618"/>
      <c r="G1517" s="618"/>
      <c r="H1517" s="618"/>
      <c r="I1517" s="619"/>
      <c r="J1517" s="619"/>
      <c r="K1517" s="603"/>
      <c r="L1517" s="603"/>
      <c r="M1517" s="603"/>
      <c r="N1517" s="553"/>
      <c r="O1517" s="603"/>
      <c r="P1517" s="603"/>
      <c r="Q1517" s="603"/>
      <c r="R1517" s="620"/>
      <c r="S1517" s="553"/>
      <c r="T1517" s="553"/>
      <c r="U1517" s="621"/>
      <c r="V1517" s="553"/>
      <c r="W1517" s="624"/>
      <c r="Y1517" s="443"/>
    </row>
    <row r="1518" ht="15.75" customHeight="1">
      <c r="A1518" s="622"/>
      <c r="B1518" s="623"/>
      <c r="C1518" s="490"/>
      <c r="D1518" s="617"/>
      <c r="E1518" s="131"/>
      <c r="F1518" s="618"/>
      <c r="G1518" s="618"/>
      <c r="H1518" s="618"/>
      <c r="I1518" s="619"/>
      <c r="J1518" s="619"/>
      <c r="K1518" s="603"/>
      <c r="L1518" s="603"/>
      <c r="M1518" s="603"/>
      <c r="N1518" s="553"/>
      <c r="O1518" s="603"/>
      <c r="P1518" s="603"/>
      <c r="Q1518" s="603"/>
      <c r="R1518" s="620"/>
      <c r="S1518" s="553"/>
      <c r="T1518" s="553"/>
      <c r="U1518" s="621"/>
      <c r="V1518" s="553"/>
      <c r="W1518" s="624"/>
      <c r="Y1518" s="443"/>
    </row>
    <row r="1519" ht="15.75" customHeight="1">
      <c r="A1519" s="622"/>
      <c r="B1519" s="623"/>
      <c r="C1519" s="490"/>
      <c r="D1519" s="617"/>
      <c r="E1519" s="131"/>
      <c r="F1519" s="618"/>
      <c r="G1519" s="618"/>
      <c r="H1519" s="618"/>
      <c r="I1519" s="619"/>
      <c r="J1519" s="619"/>
      <c r="K1519" s="603"/>
      <c r="L1519" s="603"/>
      <c r="M1519" s="603"/>
      <c r="N1519" s="553"/>
      <c r="O1519" s="603"/>
      <c r="P1519" s="603"/>
      <c r="Q1519" s="603"/>
      <c r="R1519" s="620"/>
      <c r="S1519" s="553"/>
      <c r="T1519" s="553"/>
      <c r="U1519" s="621"/>
      <c r="V1519" s="553"/>
      <c r="W1519" s="624"/>
      <c r="Y1519" s="443"/>
    </row>
    <row r="1520" ht="15.75" customHeight="1">
      <c r="A1520" s="622"/>
      <c r="B1520" s="623"/>
      <c r="C1520" s="490"/>
      <c r="D1520" s="617"/>
      <c r="E1520" s="131"/>
      <c r="F1520" s="618"/>
      <c r="G1520" s="618"/>
      <c r="H1520" s="618"/>
      <c r="I1520" s="619"/>
      <c r="J1520" s="619"/>
      <c r="K1520" s="603"/>
      <c r="L1520" s="603"/>
      <c r="M1520" s="603"/>
      <c r="N1520" s="553"/>
      <c r="O1520" s="603"/>
      <c r="P1520" s="603"/>
      <c r="Q1520" s="603"/>
      <c r="R1520" s="620"/>
      <c r="S1520" s="553"/>
      <c r="T1520" s="553"/>
      <c r="U1520" s="621"/>
      <c r="V1520" s="553"/>
      <c r="W1520" s="624"/>
      <c r="Y1520" s="443"/>
    </row>
    <row r="1521" ht="15.75" customHeight="1">
      <c r="A1521" s="622"/>
      <c r="B1521" s="623"/>
      <c r="C1521" s="490"/>
      <c r="D1521" s="617"/>
      <c r="E1521" s="131"/>
      <c r="F1521" s="618"/>
      <c r="G1521" s="618"/>
      <c r="H1521" s="618"/>
      <c r="I1521" s="619"/>
      <c r="J1521" s="619"/>
      <c r="K1521" s="603"/>
      <c r="L1521" s="603"/>
      <c r="M1521" s="603"/>
      <c r="N1521" s="553"/>
      <c r="O1521" s="603"/>
      <c r="P1521" s="603"/>
      <c r="Q1521" s="603"/>
      <c r="R1521" s="620"/>
      <c r="S1521" s="553"/>
      <c r="T1521" s="553"/>
      <c r="U1521" s="621"/>
      <c r="V1521" s="553"/>
      <c r="W1521" s="624"/>
      <c r="Y1521" s="443"/>
    </row>
    <row r="1522" ht="15.75" customHeight="1">
      <c r="A1522" s="622"/>
      <c r="B1522" s="623"/>
      <c r="C1522" s="490"/>
      <c r="D1522" s="617"/>
      <c r="E1522" s="131"/>
      <c r="F1522" s="618"/>
      <c r="G1522" s="618"/>
      <c r="H1522" s="618"/>
      <c r="I1522" s="619"/>
      <c r="J1522" s="619"/>
      <c r="K1522" s="603"/>
      <c r="L1522" s="603"/>
      <c r="M1522" s="603"/>
      <c r="N1522" s="553"/>
      <c r="O1522" s="603"/>
      <c r="P1522" s="603"/>
      <c r="Q1522" s="603"/>
      <c r="R1522" s="620"/>
      <c r="S1522" s="553"/>
      <c r="T1522" s="553"/>
      <c r="U1522" s="621"/>
      <c r="V1522" s="553"/>
      <c r="W1522" s="624"/>
      <c r="Y1522" s="443"/>
    </row>
    <row r="1523" ht="15.75" customHeight="1">
      <c r="A1523" s="622"/>
      <c r="B1523" s="623"/>
      <c r="C1523" s="490"/>
      <c r="D1523" s="617"/>
      <c r="E1523" s="131"/>
      <c r="F1523" s="618"/>
      <c r="G1523" s="618"/>
      <c r="H1523" s="618"/>
      <c r="I1523" s="619"/>
      <c r="J1523" s="619"/>
      <c r="K1523" s="603"/>
      <c r="L1523" s="603"/>
      <c r="M1523" s="603"/>
      <c r="N1523" s="553"/>
      <c r="O1523" s="603"/>
      <c r="P1523" s="603"/>
      <c r="Q1523" s="603"/>
      <c r="R1523" s="620"/>
      <c r="S1523" s="553"/>
      <c r="T1523" s="553"/>
      <c r="U1523" s="621"/>
      <c r="V1523" s="553"/>
      <c r="W1523" s="624"/>
      <c r="Y1523" s="443"/>
    </row>
    <row r="1524" ht="15.75" customHeight="1">
      <c r="A1524" s="622"/>
      <c r="B1524" s="623"/>
      <c r="C1524" s="490"/>
      <c r="D1524" s="617"/>
      <c r="E1524" s="131"/>
      <c r="F1524" s="618"/>
      <c r="G1524" s="618"/>
      <c r="H1524" s="618"/>
      <c r="I1524" s="619"/>
      <c r="J1524" s="619"/>
      <c r="K1524" s="603"/>
      <c r="L1524" s="603"/>
      <c r="M1524" s="603"/>
      <c r="N1524" s="553"/>
      <c r="O1524" s="603"/>
      <c r="P1524" s="603"/>
      <c r="Q1524" s="603"/>
      <c r="R1524" s="620"/>
      <c r="S1524" s="553"/>
      <c r="T1524" s="553"/>
      <c r="U1524" s="621"/>
      <c r="V1524" s="553"/>
      <c r="W1524" s="624"/>
      <c r="Y1524" s="443"/>
    </row>
    <row r="1525" ht="15.75" customHeight="1">
      <c r="A1525" s="622"/>
      <c r="B1525" s="623"/>
      <c r="C1525" s="490"/>
      <c r="D1525" s="617"/>
      <c r="E1525" s="131"/>
      <c r="F1525" s="618"/>
      <c r="G1525" s="618"/>
      <c r="H1525" s="618"/>
      <c r="I1525" s="619"/>
      <c r="J1525" s="619"/>
      <c r="K1525" s="603"/>
      <c r="L1525" s="603"/>
      <c r="M1525" s="603"/>
      <c r="N1525" s="553"/>
      <c r="O1525" s="603"/>
      <c r="P1525" s="603"/>
      <c r="Q1525" s="603"/>
      <c r="R1525" s="620"/>
      <c r="S1525" s="553"/>
      <c r="T1525" s="553"/>
      <c r="U1525" s="621"/>
      <c r="V1525" s="553"/>
      <c r="W1525" s="624"/>
      <c r="Y1525" s="443"/>
    </row>
    <row r="1526" ht="15.75" customHeight="1">
      <c r="A1526" s="622"/>
      <c r="B1526" s="623"/>
      <c r="C1526" s="490"/>
      <c r="D1526" s="617"/>
      <c r="E1526" s="131"/>
      <c r="F1526" s="618"/>
      <c r="G1526" s="618"/>
      <c r="H1526" s="618"/>
      <c r="I1526" s="619"/>
      <c r="J1526" s="619"/>
      <c r="K1526" s="603"/>
      <c r="L1526" s="603"/>
      <c r="M1526" s="603"/>
      <c r="N1526" s="553"/>
      <c r="O1526" s="603"/>
      <c r="P1526" s="603"/>
      <c r="Q1526" s="603"/>
      <c r="R1526" s="620"/>
      <c r="S1526" s="553"/>
      <c r="T1526" s="553"/>
      <c r="U1526" s="621"/>
      <c r="V1526" s="553"/>
      <c r="W1526" s="624"/>
      <c r="Y1526" s="443"/>
    </row>
    <row r="1527" ht="15.75" customHeight="1">
      <c r="A1527" s="622"/>
      <c r="B1527" s="623"/>
      <c r="C1527" s="490"/>
      <c r="D1527" s="617"/>
      <c r="E1527" s="131"/>
      <c r="F1527" s="618"/>
      <c r="G1527" s="618"/>
      <c r="H1527" s="618"/>
      <c r="I1527" s="619"/>
      <c r="J1527" s="619"/>
      <c r="K1527" s="603"/>
      <c r="L1527" s="603"/>
      <c r="M1527" s="603"/>
      <c r="N1527" s="553"/>
      <c r="O1527" s="603"/>
      <c r="P1527" s="603"/>
      <c r="Q1527" s="603"/>
      <c r="R1527" s="620"/>
      <c r="S1527" s="553"/>
      <c r="T1527" s="553"/>
      <c r="U1527" s="621"/>
      <c r="V1527" s="553"/>
      <c r="W1527" s="624"/>
      <c r="Y1527" s="443"/>
    </row>
    <row r="1528" ht="15.75" customHeight="1">
      <c r="A1528" s="622"/>
      <c r="B1528" s="623"/>
      <c r="C1528" s="490"/>
      <c r="D1528" s="617"/>
      <c r="E1528" s="131"/>
      <c r="F1528" s="618"/>
      <c r="G1528" s="618"/>
      <c r="H1528" s="618"/>
      <c r="I1528" s="619"/>
      <c r="J1528" s="619"/>
      <c r="K1528" s="603"/>
      <c r="L1528" s="603"/>
      <c r="M1528" s="603"/>
      <c r="N1528" s="553"/>
      <c r="O1528" s="603"/>
      <c r="P1528" s="603"/>
      <c r="Q1528" s="603"/>
      <c r="R1528" s="620"/>
      <c r="S1528" s="553"/>
      <c r="T1528" s="553"/>
      <c r="U1528" s="621"/>
      <c r="V1528" s="553"/>
      <c r="W1528" s="624"/>
      <c r="Y1528" s="443"/>
    </row>
    <row r="1529" ht="15.75" customHeight="1">
      <c r="A1529" s="622"/>
      <c r="B1529" s="623"/>
      <c r="C1529" s="490"/>
      <c r="D1529" s="617"/>
      <c r="E1529" s="131"/>
      <c r="F1529" s="618"/>
      <c r="G1529" s="618"/>
      <c r="H1529" s="618"/>
      <c r="I1529" s="619"/>
      <c r="J1529" s="619"/>
      <c r="K1529" s="603"/>
      <c r="L1529" s="603"/>
      <c r="M1529" s="603"/>
      <c r="N1529" s="553"/>
      <c r="O1529" s="603"/>
      <c r="P1529" s="603"/>
      <c r="Q1529" s="603"/>
      <c r="R1529" s="620"/>
      <c r="S1529" s="553"/>
      <c r="T1529" s="553"/>
      <c r="U1529" s="621"/>
      <c r="V1529" s="553"/>
      <c r="W1529" s="624"/>
      <c r="Y1529" s="443"/>
    </row>
    <row r="1530" ht="15.75" customHeight="1">
      <c r="A1530" s="622"/>
      <c r="B1530" s="623"/>
      <c r="C1530" s="490"/>
      <c r="D1530" s="617"/>
      <c r="E1530" s="131"/>
      <c r="F1530" s="618"/>
      <c r="G1530" s="618"/>
      <c r="H1530" s="618"/>
      <c r="I1530" s="619"/>
      <c r="J1530" s="619"/>
      <c r="K1530" s="603"/>
      <c r="L1530" s="603"/>
      <c r="M1530" s="603"/>
      <c r="N1530" s="553"/>
      <c r="O1530" s="603"/>
      <c r="P1530" s="603"/>
      <c r="Q1530" s="603"/>
      <c r="R1530" s="620"/>
      <c r="S1530" s="553"/>
      <c r="T1530" s="553"/>
      <c r="U1530" s="621"/>
      <c r="V1530" s="553"/>
      <c r="W1530" s="624"/>
      <c r="Y1530" s="443"/>
    </row>
    <row r="1531" ht="15.75" customHeight="1">
      <c r="A1531" s="622"/>
      <c r="B1531" s="623"/>
      <c r="C1531" s="490"/>
      <c r="D1531" s="617"/>
      <c r="E1531" s="131"/>
      <c r="F1531" s="618"/>
      <c r="G1531" s="618"/>
      <c r="H1531" s="618"/>
      <c r="I1531" s="619"/>
      <c r="J1531" s="619"/>
      <c r="K1531" s="603"/>
      <c r="L1531" s="603"/>
      <c r="M1531" s="603"/>
      <c r="N1531" s="553"/>
      <c r="O1531" s="603"/>
      <c r="P1531" s="603"/>
      <c r="Q1531" s="603"/>
      <c r="R1531" s="620"/>
      <c r="S1531" s="553"/>
      <c r="T1531" s="553"/>
      <c r="U1531" s="621"/>
      <c r="V1531" s="553"/>
      <c r="W1531" s="624"/>
      <c r="Y1531" s="443"/>
    </row>
    <row r="1532" ht="15.75" customHeight="1">
      <c r="A1532" s="622"/>
      <c r="B1532" s="623"/>
      <c r="C1532" s="490"/>
      <c r="D1532" s="617"/>
      <c r="E1532" s="131"/>
      <c r="F1532" s="618"/>
      <c r="G1532" s="618"/>
      <c r="H1532" s="618"/>
      <c r="I1532" s="619"/>
      <c r="J1532" s="619"/>
      <c r="K1532" s="603"/>
      <c r="L1532" s="603"/>
      <c r="M1532" s="603"/>
      <c r="N1532" s="553"/>
      <c r="O1532" s="603"/>
      <c r="P1532" s="603"/>
      <c r="Q1532" s="603"/>
      <c r="R1532" s="620"/>
      <c r="S1532" s="553"/>
      <c r="T1532" s="553"/>
      <c r="U1532" s="621"/>
      <c r="V1532" s="553"/>
      <c r="W1532" s="624"/>
      <c r="Y1532" s="443"/>
    </row>
    <row r="1533" ht="15.75" customHeight="1">
      <c r="A1533" s="622"/>
      <c r="B1533" s="623"/>
      <c r="C1533" s="490"/>
      <c r="D1533" s="617"/>
      <c r="E1533" s="131"/>
      <c r="F1533" s="618"/>
      <c r="G1533" s="618"/>
      <c r="H1533" s="618"/>
      <c r="I1533" s="619"/>
      <c r="J1533" s="619"/>
      <c r="K1533" s="603"/>
      <c r="L1533" s="603"/>
      <c r="M1533" s="603"/>
      <c r="N1533" s="553"/>
      <c r="O1533" s="603"/>
      <c r="P1533" s="603"/>
      <c r="Q1533" s="603"/>
      <c r="R1533" s="620"/>
      <c r="S1533" s="553"/>
      <c r="T1533" s="553"/>
      <c r="U1533" s="621"/>
      <c r="V1533" s="553"/>
      <c r="W1533" s="624"/>
      <c r="Y1533" s="443"/>
    </row>
    <row r="1534" ht="15.75" customHeight="1">
      <c r="A1534" s="622"/>
      <c r="B1534" s="623"/>
      <c r="C1534" s="490"/>
      <c r="D1534" s="617"/>
      <c r="E1534" s="131"/>
      <c r="F1534" s="618"/>
      <c r="G1534" s="618"/>
      <c r="H1534" s="618"/>
      <c r="I1534" s="619"/>
      <c r="J1534" s="619"/>
      <c r="K1534" s="603"/>
      <c r="L1534" s="603"/>
      <c r="M1534" s="603"/>
      <c r="N1534" s="553"/>
      <c r="O1534" s="603"/>
      <c r="P1534" s="603"/>
      <c r="Q1534" s="603"/>
      <c r="R1534" s="620"/>
      <c r="S1534" s="553"/>
      <c r="T1534" s="553"/>
      <c r="U1534" s="621"/>
      <c r="V1534" s="553"/>
      <c r="W1534" s="624"/>
      <c r="Y1534" s="443"/>
    </row>
    <row r="1535" ht="15.75" customHeight="1">
      <c r="A1535" s="622"/>
      <c r="B1535" s="623"/>
      <c r="C1535" s="490"/>
      <c r="D1535" s="617"/>
      <c r="E1535" s="131"/>
      <c r="F1535" s="618"/>
      <c r="G1535" s="618"/>
      <c r="H1535" s="618"/>
      <c r="I1535" s="619"/>
      <c r="J1535" s="619"/>
      <c r="K1535" s="603"/>
      <c r="L1535" s="603"/>
      <c r="M1535" s="603"/>
      <c r="N1535" s="553"/>
      <c r="O1535" s="603"/>
      <c r="P1535" s="603"/>
      <c r="Q1535" s="603"/>
      <c r="R1535" s="620"/>
      <c r="S1535" s="553"/>
      <c r="T1535" s="553"/>
      <c r="U1535" s="621"/>
      <c r="V1535" s="553"/>
      <c r="W1535" s="624"/>
      <c r="Y1535" s="443"/>
    </row>
    <row r="1536" ht="15.75" customHeight="1">
      <c r="A1536" s="622"/>
      <c r="B1536" s="623"/>
      <c r="C1536" s="490"/>
      <c r="D1536" s="617"/>
      <c r="E1536" s="131"/>
      <c r="F1536" s="618"/>
      <c r="G1536" s="618"/>
      <c r="H1536" s="618"/>
      <c r="I1536" s="619"/>
      <c r="J1536" s="619"/>
      <c r="K1536" s="603"/>
      <c r="L1536" s="603"/>
      <c r="M1536" s="603"/>
      <c r="N1536" s="553"/>
      <c r="O1536" s="603"/>
      <c r="P1536" s="603"/>
      <c r="Q1536" s="603"/>
      <c r="R1536" s="620"/>
      <c r="S1536" s="553"/>
      <c r="T1536" s="553"/>
      <c r="U1536" s="621"/>
      <c r="V1536" s="553"/>
      <c r="W1536" s="624"/>
      <c r="Y1536" s="443"/>
    </row>
    <row r="1537" ht="15.75" customHeight="1">
      <c r="A1537" s="622"/>
      <c r="B1537" s="623"/>
      <c r="C1537" s="490"/>
      <c r="D1537" s="617"/>
      <c r="E1537" s="131"/>
      <c r="F1537" s="618"/>
      <c r="G1537" s="618"/>
      <c r="H1537" s="618"/>
      <c r="I1537" s="619"/>
      <c r="J1537" s="619"/>
      <c r="K1537" s="603"/>
      <c r="L1537" s="603"/>
      <c r="M1537" s="603"/>
      <c r="N1537" s="553"/>
      <c r="O1537" s="603"/>
      <c r="P1537" s="603"/>
      <c r="Q1537" s="603"/>
      <c r="R1537" s="620"/>
      <c r="S1537" s="553"/>
      <c r="T1537" s="553"/>
      <c r="U1537" s="621"/>
      <c r="V1537" s="553"/>
      <c r="W1537" s="624"/>
      <c r="Y1537" s="443"/>
    </row>
    <row r="1538" ht="15.75" customHeight="1">
      <c r="A1538" s="622"/>
      <c r="B1538" s="623"/>
      <c r="C1538" s="490"/>
      <c r="D1538" s="617"/>
      <c r="E1538" s="131"/>
      <c r="F1538" s="618"/>
      <c r="G1538" s="618"/>
      <c r="H1538" s="618"/>
      <c r="I1538" s="619"/>
      <c r="J1538" s="619"/>
      <c r="K1538" s="603"/>
      <c r="L1538" s="603"/>
      <c r="M1538" s="603"/>
      <c r="N1538" s="553"/>
      <c r="O1538" s="603"/>
      <c r="P1538" s="603"/>
      <c r="Q1538" s="603"/>
      <c r="R1538" s="620"/>
      <c r="S1538" s="553"/>
      <c r="T1538" s="553"/>
      <c r="U1538" s="621"/>
      <c r="V1538" s="553"/>
      <c r="W1538" s="624"/>
      <c r="Y1538" s="443"/>
    </row>
    <row r="1539" ht="15.75" customHeight="1">
      <c r="A1539" s="622"/>
      <c r="B1539" s="623"/>
      <c r="C1539" s="490"/>
      <c r="D1539" s="617"/>
      <c r="E1539" s="131"/>
      <c r="F1539" s="618"/>
      <c r="G1539" s="618"/>
      <c r="H1539" s="618"/>
      <c r="I1539" s="619"/>
      <c r="J1539" s="619"/>
      <c r="K1539" s="603"/>
      <c r="L1539" s="603"/>
      <c r="M1539" s="603"/>
      <c r="N1539" s="553"/>
      <c r="O1539" s="603"/>
      <c r="P1539" s="603"/>
      <c r="Q1539" s="603"/>
      <c r="R1539" s="620"/>
      <c r="S1539" s="553"/>
      <c r="T1539" s="553"/>
      <c r="U1539" s="621"/>
      <c r="V1539" s="553"/>
      <c r="W1539" s="624"/>
      <c r="Y1539" s="443"/>
    </row>
    <row r="1540" ht="15.75" customHeight="1">
      <c r="A1540" s="622"/>
      <c r="B1540" s="623"/>
      <c r="C1540" s="490"/>
      <c r="D1540" s="617"/>
      <c r="E1540" s="131"/>
      <c r="F1540" s="618"/>
      <c r="G1540" s="618"/>
      <c r="H1540" s="618"/>
      <c r="I1540" s="619"/>
      <c r="J1540" s="619"/>
      <c r="K1540" s="603"/>
      <c r="L1540" s="603"/>
      <c r="M1540" s="603"/>
      <c r="N1540" s="553"/>
      <c r="O1540" s="603"/>
      <c r="P1540" s="603"/>
      <c r="Q1540" s="603"/>
      <c r="R1540" s="620"/>
      <c r="S1540" s="553"/>
      <c r="T1540" s="553"/>
      <c r="U1540" s="621"/>
      <c r="V1540" s="553"/>
      <c r="W1540" s="624"/>
      <c r="Y1540" s="443"/>
    </row>
    <row r="1541" ht="15.75" customHeight="1">
      <c r="A1541" s="622"/>
      <c r="B1541" s="623"/>
      <c r="C1541" s="490"/>
      <c r="D1541" s="617"/>
      <c r="E1541" s="131"/>
      <c r="F1541" s="618"/>
      <c r="G1541" s="618"/>
      <c r="H1541" s="618"/>
      <c r="I1541" s="619"/>
      <c r="J1541" s="619"/>
      <c r="K1541" s="603"/>
      <c r="L1541" s="603"/>
      <c r="M1541" s="603"/>
      <c r="N1541" s="553"/>
      <c r="O1541" s="603"/>
      <c r="P1541" s="603"/>
      <c r="Q1541" s="603"/>
      <c r="R1541" s="620"/>
      <c r="S1541" s="553"/>
      <c r="T1541" s="553"/>
      <c r="U1541" s="621"/>
      <c r="V1541" s="553"/>
      <c r="W1541" s="624"/>
      <c r="Y1541" s="443"/>
    </row>
    <row r="1542" ht="15.75" customHeight="1">
      <c r="A1542" s="622"/>
      <c r="B1542" s="623"/>
      <c r="C1542" s="490"/>
      <c r="D1542" s="617"/>
      <c r="E1542" s="131"/>
      <c r="F1542" s="618"/>
      <c r="G1542" s="618"/>
      <c r="H1542" s="618"/>
      <c r="I1542" s="619"/>
      <c r="J1542" s="619"/>
      <c r="K1542" s="603"/>
      <c r="L1542" s="603"/>
      <c r="M1542" s="603"/>
      <c r="N1542" s="553"/>
      <c r="O1542" s="603"/>
      <c r="P1542" s="603"/>
      <c r="Q1542" s="603"/>
      <c r="R1542" s="620"/>
      <c r="S1542" s="553"/>
      <c r="T1542" s="553"/>
      <c r="U1542" s="621"/>
      <c r="V1542" s="553"/>
      <c r="W1542" s="624"/>
      <c r="Y1542" s="443"/>
    </row>
    <row r="1543" ht="15.75" customHeight="1">
      <c r="A1543" s="622"/>
      <c r="B1543" s="623"/>
      <c r="C1543" s="490"/>
      <c r="D1543" s="617"/>
      <c r="E1543" s="131"/>
      <c r="F1543" s="618"/>
      <c r="G1543" s="618"/>
      <c r="H1543" s="618"/>
      <c r="I1543" s="619"/>
      <c r="J1543" s="619"/>
      <c r="K1543" s="603"/>
      <c r="L1543" s="603"/>
      <c r="M1543" s="603"/>
      <c r="N1543" s="553"/>
      <c r="O1543" s="603"/>
      <c r="P1543" s="603"/>
      <c r="Q1543" s="603"/>
      <c r="R1543" s="620"/>
      <c r="S1543" s="553"/>
      <c r="T1543" s="553"/>
      <c r="U1543" s="621"/>
      <c r="V1543" s="553"/>
      <c r="W1543" s="624"/>
      <c r="Y1543" s="443"/>
    </row>
    <row r="1544" ht="15.75" customHeight="1">
      <c r="A1544" s="622"/>
      <c r="B1544" s="623"/>
      <c r="C1544" s="490"/>
      <c r="D1544" s="617"/>
      <c r="E1544" s="131"/>
      <c r="F1544" s="618"/>
      <c r="G1544" s="618"/>
      <c r="H1544" s="618"/>
      <c r="I1544" s="619"/>
      <c r="J1544" s="619"/>
      <c r="K1544" s="603"/>
      <c r="L1544" s="603"/>
      <c r="M1544" s="603"/>
      <c r="N1544" s="553"/>
      <c r="O1544" s="603"/>
      <c r="P1544" s="603"/>
      <c r="Q1544" s="603"/>
      <c r="R1544" s="620"/>
      <c r="S1544" s="553"/>
      <c r="T1544" s="553"/>
      <c r="U1544" s="621"/>
      <c r="V1544" s="553"/>
      <c r="W1544" s="624"/>
      <c r="Y1544" s="443"/>
    </row>
    <row r="1545" ht="15.75" customHeight="1">
      <c r="A1545" s="622"/>
      <c r="B1545" s="623"/>
      <c r="C1545" s="490"/>
      <c r="D1545" s="617"/>
      <c r="E1545" s="131"/>
      <c r="F1545" s="618"/>
      <c r="G1545" s="618"/>
      <c r="H1545" s="618"/>
      <c r="I1545" s="619"/>
      <c r="J1545" s="619"/>
      <c r="K1545" s="603"/>
      <c r="L1545" s="603"/>
      <c r="M1545" s="603"/>
      <c r="N1545" s="553"/>
      <c r="O1545" s="603"/>
      <c r="P1545" s="603"/>
      <c r="Q1545" s="603"/>
      <c r="R1545" s="620"/>
      <c r="S1545" s="553"/>
      <c r="T1545" s="553"/>
      <c r="U1545" s="621"/>
      <c r="V1545" s="553"/>
      <c r="W1545" s="624"/>
      <c r="Y1545" s="443"/>
    </row>
    <row r="1546" ht="15.75" customHeight="1">
      <c r="A1546" s="622"/>
      <c r="B1546" s="623"/>
      <c r="C1546" s="490"/>
      <c r="D1546" s="617"/>
      <c r="E1546" s="131"/>
      <c r="F1546" s="618"/>
      <c r="G1546" s="618"/>
      <c r="H1546" s="618"/>
      <c r="I1546" s="619"/>
      <c r="J1546" s="619"/>
      <c r="K1546" s="603"/>
      <c r="L1546" s="603"/>
      <c r="M1546" s="603"/>
      <c r="N1546" s="553"/>
      <c r="O1546" s="603"/>
      <c r="P1546" s="603"/>
      <c r="Q1546" s="603"/>
      <c r="R1546" s="620"/>
      <c r="S1546" s="553"/>
      <c r="T1546" s="553"/>
      <c r="U1546" s="621"/>
      <c r="V1546" s="553"/>
      <c r="W1546" s="624"/>
      <c r="Y1546" s="443"/>
    </row>
    <row r="1547" ht="15.75" customHeight="1">
      <c r="A1547" s="622"/>
      <c r="B1547" s="623"/>
      <c r="C1547" s="490"/>
      <c r="D1547" s="617"/>
      <c r="E1547" s="131"/>
      <c r="F1547" s="618"/>
      <c r="G1547" s="618"/>
      <c r="H1547" s="618"/>
      <c r="I1547" s="619"/>
      <c r="J1547" s="619"/>
      <c r="K1547" s="603"/>
      <c r="L1547" s="603"/>
      <c r="M1547" s="603"/>
      <c r="N1547" s="553"/>
      <c r="O1547" s="603"/>
      <c r="P1547" s="603"/>
      <c r="Q1547" s="603"/>
      <c r="R1547" s="620"/>
      <c r="S1547" s="553"/>
      <c r="T1547" s="553"/>
      <c r="U1547" s="621"/>
      <c r="V1547" s="553"/>
      <c r="W1547" s="624"/>
      <c r="Y1547" s="443"/>
    </row>
    <row r="1548" ht="15.75" customHeight="1">
      <c r="A1548" s="622"/>
      <c r="B1548" s="623"/>
      <c r="C1548" s="490"/>
      <c r="D1548" s="617"/>
      <c r="E1548" s="131"/>
      <c r="F1548" s="618"/>
      <c r="G1548" s="618"/>
      <c r="H1548" s="618"/>
      <c r="I1548" s="619"/>
      <c r="J1548" s="619"/>
      <c r="K1548" s="603"/>
      <c r="L1548" s="603"/>
      <c r="M1548" s="603"/>
      <c r="N1548" s="553"/>
      <c r="O1548" s="603"/>
      <c r="P1548" s="603"/>
      <c r="Q1548" s="603"/>
      <c r="R1548" s="620"/>
      <c r="S1548" s="553"/>
      <c r="T1548" s="553"/>
      <c r="U1548" s="621"/>
      <c r="V1548" s="553"/>
      <c r="W1548" s="624"/>
      <c r="Y1548" s="443"/>
    </row>
    <row r="1549" ht="15.75" customHeight="1">
      <c r="A1549" s="622"/>
      <c r="B1549" s="623"/>
      <c r="C1549" s="490"/>
      <c r="D1549" s="617"/>
      <c r="E1549" s="131"/>
      <c r="F1549" s="618"/>
      <c r="G1549" s="618"/>
      <c r="H1549" s="618"/>
      <c r="I1549" s="619"/>
      <c r="J1549" s="619"/>
      <c r="K1549" s="603"/>
      <c r="L1549" s="603"/>
      <c r="M1549" s="603"/>
      <c r="N1549" s="553"/>
      <c r="O1549" s="603"/>
      <c r="P1549" s="603"/>
      <c r="Q1549" s="603"/>
      <c r="R1549" s="620"/>
      <c r="S1549" s="553"/>
      <c r="T1549" s="553"/>
      <c r="U1549" s="621"/>
      <c r="V1549" s="553"/>
      <c r="W1549" s="624"/>
      <c r="Y1549" s="443"/>
    </row>
    <row r="1550" ht="15.75" customHeight="1">
      <c r="A1550" s="622"/>
      <c r="B1550" s="623"/>
      <c r="C1550" s="490"/>
      <c r="D1550" s="617"/>
      <c r="E1550" s="131"/>
      <c r="F1550" s="618"/>
      <c r="G1550" s="618"/>
      <c r="H1550" s="618"/>
      <c r="I1550" s="619"/>
      <c r="J1550" s="619"/>
      <c r="K1550" s="603"/>
      <c r="L1550" s="603"/>
      <c r="M1550" s="603"/>
      <c r="N1550" s="553"/>
      <c r="O1550" s="603"/>
      <c r="P1550" s="603"/>
      <c r="Q1550" s="603"/>
      <c r="R1550" s="620"/>
      <c r="S1550" s="553"/>
      <c r="T1550" s="553"/>
      <c r="U1550" s="621"/>
      <c r="V1550" s="553"/>
      <c r="W1550" s="624"/>
      <c r="Y1550" s="443"/>
    </row>
    <row r="1551" ht="15.75" customHeight="1">
      <c r="A1551" s="622"/>
      <c r="B1551" s="623"/>
      <c r="C1551" s="490"/>
      <c r="D1551" s="617"/>
      <c r="E1551" s="131"/>
      <c r="F1551" s="618"/>
      <c r="G1551" s="618"/>
      <c r="H1551" s="618"/>
      <c r="I1551" s="619"/>
      <c r="J1551" s="619"/>
      <c r="K1551" s="603"/>
      <c r="L1551" s="603"/>
      <c r="M1551" s="603"/>
      <c r="N1551" s="553"/>
      <c r="O1551" s="603"/>
      <c r="P1551" s="603"/>
      <c r="Q1551" s="603"/>
      <c r="R1551" s="620"/>
      <c r="S1551" s="553"/>
      <c r="T1551" s="553"/>
      <c r="U1551" s="621"/>
      <c r="V1551" s="553"/>
      <c r="W1551" s="624"/>
      <c r="Y1551" s="443"/>
    </row>
    <row r="1552" ht="15.75" customHeight="1">
      <c r="A1552" s="622"/>
      <c r="B1552" s="623"/>
      <c r="C1552" s="490"/>
      <c r="D1552" s="617"/>
      <c r="E1552" s="131"/>
      <c r="F1552" s="618"/>
      <c r="G1552" s="618"/>
      <c r="H1552" s="618"/>
      <c r="I1552" s="619"/>
      <c r="J1552" s="619"/>
      <c r="K1552" s="603"/>
      <c r="L1552" s="603"/>
      <c r="M1552" s="603"/>
      <c r="N1552" s="553"/>
      <c r="O1552" s="603"/>
      <c r="P1552" s="603"/>
      <c r="Q1552" s="603"/>
      <c r="R1552" s="620"/>
      <c r="S1552" s="553"/>
      <c r="T1552" s="553"/>
      <c r="U1552" s="621"/>
      <c r="V1552" s="553"/>
      <c r="W1552" s="624"/>
      <c r="Y1552" s="443"/>
    </row>
    <row r="1553" ht="15.75" customHeight="1">
      <c r="A1553" s="622"/>
      <c r="B1553" s="623"/>
      <c r="C1553" s="490"/>
      <c r="D1553" s="617"/>
      <c r="E1553" s="131"/>
      <c r="F1553" s="618"/>
      <c r="G1553" s="618"/>
      <c r="H1553" s="618"/>
      <c r="I1553" s="619"/>
      <c r="J1553" s="619"/>
      <c r="K1553" s="603"/>
      <c r="L1553" s="603"/>
      <c r="M1553" s="603"/>
      <c r="N1553" s="553"/>
      <c r="O1553" s="603"/>
      <c r="P1553" s="603"/>
      <c r="Q1553" s="603"/>
      <c r="R1553" s="620"/>
      <c r="S1553" s="553"/>
      <c r="T1553" s="553"/>
      <c r="U1553" s="621"/>
      <c r="V1553" s="553"/>
      <c r="W1553" s="624"/>
      <c r="Y1553" s="443"/>
    </row>
    <row r="1554" ht="15.75" customHeight="1">
      <c r="A1554" s="622"/>
      <c r="B1554" s="623"/>
      <c r="C1554" s="490"/>
      <c r="D1554" s="617"/>
      <c r="E1554" s="131"/>
      <c r="F1554" s="618"/>
      <c r="G1554" s="618"/>
      <c r="H1554" s="618"/>
      <c r="I1554" s="619"/>
      <c r="J1554" s="619"/>
      <c r="K1554" s="603"/>
      <c r="L1554" s="603"/>
      <c r="M1554" s="603"/>
      <c r="N1554" s="553"/>
      <c r="O1554" s="603"/>
      <c r="P1554" s="603"/>
      <c r="Q1554" s="603"/>
      <c r="R1554" s="620"/>
      <c r="S1554" s="553"/>
      <c r="T1554" s="553"/>
      <c r="U1554" s="621"/>
      <c r="V1554" s="553"/>
      <c r="W1554" s="624"/>
      <c r="Y1554" s="443"/>
    </row>
    <row r="1555" ht="15.75" customHeight="1">
      <c r="A1555" s="622"/>
      <c r="B1555" s="623"/>
      <c r="C1555" s="490"/>
      <c r="D1555" s="617"/>
      <c r="E1555" s="131"/>
      <c r="F1555" s="618"/>
      <c r="G1555" s="618"/>
      <c r="H1555" s="618"/>
      <c r="I1555" s="619"/>
      <c r="J1555" s="619"/>
      <c r="K1555" s="603"/>
      <c r="L1555" s="603"/>
      <c r="M1555" s="603"/>
      <c r="N1555" s="553"/>
      <c r="O1555" s="603"/>
      <c r="P1555" s="603"/>
      <c r="Q1555" s="603"/>
      <c r="R1555" s="620"/>
      <c r="S1555" s="553"/>
      <c r="T1555" s="553"/>
      <c r="U1555" s="621"/>
      <c r="V1555" s="553"/>
      <c r="W1555" s="624"/>
      <c r="Y1555" s="443"/>
    </row>
    <row r="1556" ht="15.75" customHeight="1">
      <c r="A1556" s="622"/>
      <c r="B1556" s="623"/>
      <c r="C1556" s="490"/>
      <c r="D1556" s="617"/>
      <c r="E1556" s="131"/>
      <c r="F1556" s="618"/>
      <c r="G1556" s="618"/>
      <c r="H1556" s="618"/>
      <c r="I1556" s="619"/>
      <c r="J1556" s="619"/>
      <c r="K1556" s="603"/>
      <c r="L1556" s="603"/>
      <c r="M1556" s="603"/>
      <c r="N1556" s="553"/>
      <c r="O1556" s="603"/>
      <c r="P1556" s="603"/>
      <c r="Q1556" s="603"/>
      <c r="R1556" s="620"/>
      <c r="S1556" s="553"/>
      <c r="T1556" s="553"/>
      <c r="U1556" s="621"/>
      <c r="V1556" s="553"/>
      <c r="W1556" s="624"/>
      <c r="Y1556" s="443"/>
    </row>
    <row r="1557" ht="15.75" customHeight="1">
      <c r="A1557" s="622"/>
      <c r="B1557" s="623"/>
      <c r="C1557" s="490"/>
      <c r="D1557" s="617"/>
      <c r="E1557" s="131"/>
      <c r="F1557" s="618"/>
      <c r="G1557" s="618"/>
      <c r="H1557" s="618"/>
      <c r="I1557" s="619"/>
      <c r="J1557" s="619"/>
      <c r="K1557" s="603"/>
      <c r="L1557" s="603"/>
      <c r="M1557" s="603"/>
      <c r="N1557" s="553"/>
      <c r="O1557" s="603"/>
      <c r="P1557" s="603"/>
      <c r="Q1557" s="603"/>
      <c r="R1557" s="620"/>
      <c r="S1557" s="553"/>
      <c r="T1557" s="553"/>
      <c r="U1557" s="621"/>
      <c r="V1557" s="553"/>
      <c r="W1557" s="624"/>
      <c r="Y1557" s="443"/>
    </row>
    <row r="1558" ht="15.75" customHeight="1">
      <c r="A1558" s="622"/>
      <c r="B1558" s="623"/>
      <c r="C1558" s="490"/>
      <c r="D1558" s="617"/>
      <c r="E1558" s="131"/>
      <c r="F1558" s="618"/>
      <c r="G1558" s="618"/>
      <c r="H1558" s="618"/>
      <c r="I1558" s="619"/>
      <c r="J1558" s="619"/>
      <c r="K1558" s="603"/>
      <c r="L1558" s="603"/>
      <c r="M1558" s="603"/>
      <c r="N1558" s="553"/>
      <c r="O1558" s="603"/>
      <c r="P1558" s="603"/>
      <c r="Q1558" s="603"/>
      <c r="R1558" s="620"/>
      <c r="S1558" s="553"/>
      <c r="T1558" s="553"/>
      <c r="U1558" s="621"/>
      <c r="V1558" s="553"/>
      <c r="W1558" s="624"/>
      <c r="Y1558" s="443"/>
    </row>
    <row r="1559" ht="15.75" customHeight="1">
      <c r="A1559" s="622"/>
      <c r="B1559" s="623"/>
      <c r="C1559" s="490"/>
      <c r="D1559" s="617"/>
      <c r="E1559" s="131"/>
      <c r="F1559" s="618"/>
      <c r="G1559" s="618"/>
      <c r="H1559" s="618"/>
      <c r="I1559" s="619"/>
      <c r="J1559" s="619"/>
      <c r="K1559" s="603"/>
      <c r="L1559" s="603"/>
      <c r="M1559" s="603"/>
      <c r="N1559" s="553"/>
      <c r="O1559" s="603"/>
      <c r="P1559" s="603"/>
      <c r="Q1559" s="603"/>
      <c r="R1559" s="620"/>
      <c r="S1559" s="553"/>
      <c r="T1559" s="553"/>
      <c r="U1559" s="621"/>
      <c r="V1559" s="553"/>
      <c r="W1559" s="624"/>
      <c r="Y1559" s="443"/>
    </row>
    <row r="1560" ht="15.75" customHeight="1">
      <c r="A1560" s="622"/>
      <c r="B1560" s="623"/>
      <c r="C1560" s="490"/>
      <c r="D1560" s="617"/>
      <c r="E1560" s="131"/>
      <c r="F1560" s="618"/>
      <c r="G1560" s="618"/>
      <c r="H1560" s="618"/>
      <c r="I1560" s="619"/>
      <c r="J1560" s="619"/>
      <c r="K1560" s="603"/>
      <c r="L1560" s="603"/>
      <c r="M1560" s="603"/>
      <c r="N1560" s="553"/>
      <c r="O1560" s="603"/>
      <c r="P1560" s="603"/>
      <c r="Q1560" s="603"/>
      <c r="R1560" s="620"/>
      <c r="S1560" s="553"/>
      <c r="T1560" s="553"/>
      <c r="U1560" s="621"/>
      <c r="V1560" s="553"/>
      <c r="W1560" s="624"/>
      <c r="Y1560" s="443"/>
    </row>
    <row r="1561" ht="15.75" customHeight="1">
      <c r="A1561" s="622"/>
      <c r="B1561" s="623"/>
      <c r="C1561" s="490"/>
      <c r="D1561" s="617"/>
      <c r="E1561" s="131"/>
      <c r="F1561" s="618"/>
      <c r="G1561" s="618"/>
      <c r="H1561" s="618"/>
      <c r="I1561" s="619"/>
      <c r="J1561" s="619"/>
      <c r="K1561" s="603"/>
      <c r="L1561" s="603"/>
      <c r="M1561" s="603"/>
      <c r="N1561" s="553"/>
      <c r="O1561" s="603"/>
      <c r="P1561" s="603"/>
      <c r="Q1561" s="603"/>
      <c r="R1561" s="620"/>
      <c r="S1561" s="553"/>
      <c r="T1561" s="553"/>
      <c r="U1561" s="621"/>
      <c r="V1561" s="553"/>
      <c r="W1561" s="624"/>
      <c r="Y1561" s="443"/>
    </row>
    <row r="1562" ht="15.75" customHeight="1">
      <c r="A1562" s="622"/>
      <c r="B1562" s="623"/>
      <c r="C1562" s="490"/>
      <c r="D1562" s="617"/>
      <c r="E1562" s="131"/>
      <c r="F1562" s="618"/>
      <c r="G1562" s="618"/>
      <c r="H1562" s="618"/>
      <c r="I1562" s="619"/>
      <c r="J1562" s="619"/>
      <c r="K1562" s="603"/>
      <c r="L1562" s="603"/>
      <c r="M1562" s="603"/>
      <c r="N1562" s="553"/>
      <c r="O1562" s="603"/>
      <c r="P1562" s="603"/>
      <c r="Q1562" s="603"/>
      <c r="R1562" s="620"/>
      <c r="S1562" s="553"/>
      <c r="T1562" s="553"/>
      <c r="U1562" s="621"/>
      <c r="V1562" s="553"/>
      <c r="W1562" s="624"/>
      <c r="Y1562" s="443"/>
    </row>
    <row r="1563" ht="15.75" customHeight="1">
      <c r="A1563" s="622"/>
      <c r="B1563" s="623"/>
      <c r="C1563" s="490"/>
      <c r="D1563" s="617"/>
      <c r="E1563" s="131"/>
      <c r="F1563" s="618"/>
      <c r="G1563" s="618"/>
      <c r="H1563" s="618"/>
      <c r="I1563" s="619"/>
      <c r="J1563" s="619"/>
      <c r="K1563" s="603"/>
      <c r="L1563" s="603"/>
      <c r="M1563" s="603"/>
      <c r="N1563" s="553"/>
      <c r="O1563" s="603"/>
      <c r="P1563" s="603"/>
      <c r="Q1563" s="603"/>
      <c r="R1563" s="620"/>
      <c r="S1563" s="553"/>
      <c r="T1563" s="553"/>
      <c r="U1563" s="621"/>
      <c r="V1563" s="553"/>
      <c r="W1563" s="624"/>
      <c r="Y1563" s="443"/>
    </row>
    <row r="1564" ht="15.75" customHeight="1">
      <c r="A1564" s="622"/>
      <c r="B1564" s="623"/>
      <c r="C1564" s="490"/>
      <c r="D1564" s="617"/>
      <c r="E1564" s="131"/>
      <c r="F1564" s="618"/>
      <c r="G1564" s="618"/>
      <c r="H1564" s="618"/>
      <c r="I1564" s="619"/>
      <c r="J1564" s="619"/>
      <c r="K1564" s="603"/>
      <c r="L1564" s="603"/>
      <c r="M1564" s="603"/>
      <c r="N1564" s="553"/>
      <c r="O1564" s="603"/>
      <c r="P1564" s="603"/>
      <c r="Q1564" s="603"/>
      <c r="R1564" s="620"/>
      <c r="S1564" s="553"/>
      <c r="T1564" s="553"/>
      <c r="U1564" s="621"/>
      <c r="V1564" s="553"/>
      <c r="W1564" s="624"/>
      <c r="Y1564" s="443"/>
    </row>
    <row r="1565" ht="15.75" customHeight="1">
      <c r="A1565" s="622"/>
      <c r="B1565" s="623"/>
      <c r="C1565" s="490"/>
      <c r="D1565" s="617"/>
      <c r="E1565" s="131"/>
      <c r="F1565" s="618"/>
      <c r="G1565" s="618"/>
      <c r="H1565" s="618"/>
      <c r="I1565" s="619"/>
      <c r="J1565" s="619"/>
      <c r="K1565" s="603"/>
      <c r="L1565" s="603"/>
      <c r="M1565" s="603"/>
      <c r="N1565" s="553"/>
      <c r="O1565" s="603"/>
      <c r="P1565" s="603"/>
      <c r="Q1565" s="603"/>
      <c r="R1565" s="620"/>
      <c r="S1565" s="553"/>
      <c r="T1565" s="553"/>
      <c r="U1565" s="621"/>
      <c r="V1565" s="553"/>
      <c r="W1565" s="624"/>
      <c r="Y1565" s="443"/>
    </row>
    <row r="1566" ht="15.75" customHeight="1">
      <c r="A1566" s="622"/>
      <c r="B1566" s="623"/>
      <c r="C1566" s="490"/>
      <c r="D1566" s="617"/>
      <c r="E1566" s="131"/>
      <c r="F1566" s="618"/>
      <c r="G1566" s="618"/>
      <c r="H1566" s="618"/>
      <c r="I1566" s="619"/>
      <c r="J1566" s="619"/>
      <c r="K1566" s="603"/>
      <c r="L1566" s="603"/>
      <c r="M1566" s="603"/>
      <c r="N1566" s="553"/>
      <c r="O1566" s="603"/>
      <c r="P1566" s="603"/>
      <c r="Q1566" s="603"/>
      <c r="R1566" s="620"/>
      <c r="S1566" s="553"/>
      <c r="T1566" s="553"/>
      <c r="U1566" s="621"/>
      <c r="V1566" s="553"/>
      <c r="W1566" s="624"/>
      <c r="Y1566" s="443"/>
    </row>
    <row r="1567" ht="15.75" customHeight="1">
      <c r="A1567" s="622"/>
      <c r="B1567" s="623"/>
      <c r="C1567" s="490"/>
      <c r="D1567" s="617"/>
      <c r="E1567" s="131"/>
      <c r="F1567" s="618"/>
      <c r="G1567" s="618"/>
      <c r="H1567" s="618"/>
      <c r="I1567" s="619"/>
      <c r="J1567" s="619"/>
      <c r="K1567" s="603"/>
      <c r="L1567" s="603"/>
      <c r="M1567" s="603"/>
      <c r="N1567" s="553"/>
      <c r="O1567" s="603"/>
      <c r="P1567" s="603"/>
      <c r="Q1567" s="603"/>
      <c r="R1567" s="620"/>
      <c r="S1567" s="553"/>
      <c r="T1567" s="553"/>
      <c r="U1567" s="621"/>
      <c r="V1567" s="553"/>
      <c r="W1567" s="624"/>
      <c r="Y1567" s="443"/>
    </row>
    <row r="1568" ht="15.75" customHeight="1">
      <c r="A1568" s="622"/>
      <c r="B1568" s="623"/>
      <c r="C1568" s="490"/>
      <c r="D1568" s="617"/>
      <c r="E1568" s="131"/>
      <c r="F1568" s="618"/>
      <c r="G1568" s="618"/>
      <c r="H1568" s="618"/>
      <c r="I1568" s="619"/>
      <c r="J1568" s="619"/>
      <c r="K1568" s="603"/>
      <c r="L1568" s="603"/>
      <c r="M1568" s="603"/>
      <c r="N1568" s="553"/>
      <c r="O1568" s="603"/>
      <c r="P1568" s="603"/>
      <c r="Q1568" s="603"/>
      <c r="R1568" s="620"/>
      <c r="S1568" s="553"/>
      <c r="T1568" s="553"/>
      <c r="U1568" s="621"/>
      <c r="V1568" s="553"/>
      <c r="W1568" s="624"/>
      <c r="Y1568" s="443"/>
    </row>
    <row r="1569" ht="15.75" customHeight="1">
      <c r="A1569" s="622"/>
      <c r="B1569" s="623"/>
      <c r="C1569" s="490"/>
      <c r="D1569" s="617"/>
      <c r="E1569" s="131"/>
      <c r="F1569" s="618"/>
      <c r="G1569" s="618"/>
      <c r="H1569" s="618"/>
      <c r="I1569" s="619"/>
      <c r="J1569" s="619"/>
      <c r="K1569" s="603"/>
      <c r="L1569" s="603"/>
      <c r="M1569" s="603"/>
      <c r="N1569" s="553"/>
      <c r="O1569" s="603"/>
      <c r="P1569" s="603"/>
      <c r="Q1569" s="603"/>
      <c r="R1569" s="620"/>
      <c r="S1569" s="553"/>
      <c r="T1569" s="553"/>
      <c r="U1569" s="621"/>
      <c r="V1569" s="553"/>
      <c r="W1569" s="624"/>
      <c r="Y1569" s="443"/>
    </row>
    <row r="1570" ht="15.75" customHeight="1">
      <c r="A1570" s="622"/>
      <c r="B1570" s="623"/>
      <c r="C1570" s="490"/>
      <c r="D1570" s="617"/>
      <c r="E1570" s="131"/>
      <c r="F1570" s="618"/>
      <c r="G1570" s="618"/>
      <c r="H1570" s="618"/>
      <c r="I1570" s="619"/>
      <c r="J1570" s="619"/>
      <c r="K1570" s="603"/>
      <c r="L1570" s="603"/>
      <c r="M1570" s="603"/>
      <c r="N1570" s="553"/>
      <c r="O1570" s="603"/>
      <c r="P1570" s="603"/>
      <c r="Q1570" s="603"/>
      <c r="R1570" s="620"/>
      <c r="S1570" s="553"/>
      <c r="T1570" s="553"/>
      <c r="U1570" s="621"/>
      <c r="V1570" s="553"/>
      <c r="W1570" s="624"/>
      <c r="Y1570" s="443"/>
    </row>
    <row r="1571" ht="15.75" customHeight="1">
      <c r="A1571" s="622"/>
      <c r="B1571" s="623"/>
      <c r="C1571" s="490"/>
      <c r="D1571" s="617"/>
      <c r="E1571" s="131"/>
      <c r="F1571" s="618"/>
      <c r="G1571" s="618"/>
      <c r="H1571" s="618"/>
      <c r="I1571" s="619"/>
      <c r="J1571" s="619"/>
      <c r="K1571" s="603"/>
      <c r="L1571" s="603"/>
      <c r="M1571" s="603"/>
      <c r="N1571" s="553"/>
      <c r="O1571" s="603"/>
      <c r="P1571" s="603"/>
      <c r="Q1571" s="603"/>
      <c r="R1571" s="620"/>
      <c r="S1571" s="553"/>
      <c r="T1571" s="553"/>
      <c r="U1571" s="621"/>
      <c r="V1571" s="553"/>
      <c r="W1571" s="624"/>
      <c r="Y1571" s="443"/>
    </row>
    <row r="1572" ht="15.75" customHeight="1">
      <c r="A1572" s="622"/>
      <c r="B1572" s="623"/>
      <c r="C1572" s="490"/>
      <c r="D1572" s="617"/>
      <c r="E1572" s="131"/>
      <c r="F1572" s="618"/>
      <c r="G1572" s="618"/>
      <c r="H1572" s="618"/>
      <c r="I1572" s="619"/>
      <c r="J1572" s="619"/>
      <c r="K1572" s="603"/>
      <c r="L1572" s="603"/>
      <c r="M1572" s="603"/>
      <c r="N1572" s="553"/>
      <c r="O1572" s="603"/>
      <c r="P1572" s="603"/>
      <c r="Q1572" s="603"/>
      <c r="R1572" s="620"/>
      <c r="S1572" s="553"/>
      <c r="T1572" s="553"/>
      <c r="U1572" s="621"/>
      <c r="V1572" s="553"/>
      <c r="W1572" s="624"/>
      <c r="Y1572" s="443"/>
    </row>
    <row r="1573" ht="15.75" customHeight="1">
      <c r="A1573" s="622"/>
      <c r="B1573" s="623"/>
      <c r="C1573" s="490"/>
      <c r="D1573" s="617"/>
      <c r="E1573" s="131"/>
      <c r="F1573" s="618"/>
      <c r="G1573" s="618"/>
      <c r="H1573" s="618"/>
      <c r="I1573" s="619"/>
      <c r="J1573" s="619"/>
      <c r="K1573" s="603"/>
      <c r="L1573" s="603"/>
      <c r="M1573" s="603"/>
      <c r="N1573" s="553"/>
      <c r="O1573" s="603"/>
      <c r="P1573" s="603"/>
      <c r="Q1573" s="603"/>
      <c r="R1573" s="620"/>
      <c r="S1573" s="553"/>
      <c r="T1573" s="553"/>
      <c r="U1573" s="621"/>
      <c r="V1573" s="553"/>
      <c r="W1573" s="624"/>
      <c r="Y1573" s="443"/>
    </row>
    <row r="1574" ht="15.75" customHeight="1">
      <c r="A1574" s="622"/>
      <c r="B1574" s="623"/>
      <c r="C1574" s="490"/>
      <c r="D1574" s="617"/>
      <c r="E1574" s="131"/>
      <c r="F1574" s="618"/>
      <c r="G1574" s="618"/>
      <c r="H1574" s="618"/>
      <c r="I1574" s="619"/>
      <c r="J1574" s="619"/>
      <c r="K1574" s="603"/>
      <c r="L1574" s="603"/>
      <c r="M1574" s="603"/>
      <c r="N1574" s="553"/>
      <c r="O1574" s="603"/>
      <c r="P1574" s="603"/>
      <c r="Q1574" s="603"/>
      <c r="R1574" s="620"/>
      <c r="S1574" s="553"/>
      <c r="T1574" s="553"/>
      <c r="U1574" s="621"/>
      <c r="V1574" s="553"/>
      <c r="W1574" s="624"/>
      <c r="Y1574" s="443"/>
    </row>
    <row r="1575" ht="15.75" customHeight="1">
      <c r="A1575" s="622"/>
      <c r="B1575" s="623"/>
      <c r="C1575" s="490"/>
      <c r="D1575" s="617"/>
      <c r="E1575" s="131"/>
      <c r="F1575" s="618"/>
      <c r="G1575" s="618"/>
      <c r="H1575" s="618"/>
      <c r="I1575" s="619"/>
      <c r="J1575" s="619"/>
      <c r="K1575" s="603"/>
      <c r="L1575" s="603"/>
      <c r="M1575" s="603"/>
      <c r="N1575" s="553"/>
      <c r="O1575" s="603"/>
      <c r="P1575" s="603"/>
      <c r="Q1575" s="603"/>
      <c r="R1575" s="620"/>
      <c r="S1575" s="553"/>
      <c r="T1575" s="553"/>
      <c r="U1575" s="621"/>
      <c r="V1575" s="553"/>
      <c r="W1575" s="624"/>
      <c r="Y1575" s="443"/>
    </row>
    <row r="1576" ht="15.75" customHeight="1">
      <c r="A1576" s="622"/>
      <c r="B1576" s="623"/>
      <c r="C1576" s="490"/>
      <c r="D1576" s="617"/>
      <c r="E1576" s="131"/>
      <c r="F1576" s="618"/>
      <c r="G1576" s="618"/>
      <c r="H1576" s="618"/>
      <c r="I1576" s="619"/>
      <c r="J1576" s="619"/>
      <c r="K1576" s="603"/>
      <c r="L1576" s="603"/>
      <c r="M1576" s="603"/>
      <c r="N1576" s="553"/>
      <c r="O1576" s="603"/>
      <c r="P1576" s="603"/>
      <c r="Q1576" s="603"/>
      <c r="R1576" s="620"/>
      <c r="S1576" s="553"/>
      <c r="T1576" s="553"/>
      <c r="U1576" s="621"/>
      <c r="V1576" s="553"/>
      <c r="W1576" s="624"/>
      <c r="Y1576" s="443"/>
    </row>
    <row r="1577" ht="15.75" customHeight="1">
      <c r="A1577" s="622"/>
      <c r="B1577" s="623"/>
      <c r="C1577" s="490"/>
      <c r="D1577" s="617"/>
      <c r="E1577" s="131"/>
      <c r="F1577" s="618"/>
      <c r="G1577" s="618"/>
      <c r="H1577" s="618"/>
      <c r="I1577" s="619"/>
      <c r="J1577" s="619"/>
      <c r="K1577" s="603"/>
      <c r="L1577" s="603"/>
      <c r="M1577" s="603"/>
      <c r="N1577" s="553"/>
      <c r="O1577" s="603"/>
      <c r="P1577" s="603"/>
      <c r="Q1577" s="603"/>
      <c r="R1577" s="620"/>
      <c r="S1577" s="553"/>
      <c r="T1577" s="553"/>
      <c r="U1577" s="621"/>
      <c r="V1577" s="553"/>
      <c r="W1577" s="624"/>
      <c r="Y1577" s="443"/>
    </row>
    <row r="1578" ht="15.75" customHeight="1">
      <c r="A1578" s="622"/>
      <c r="B1578" s="623"/>
      <c r="C1578" s="490"/>
      <c r="D1578" s="617"/>
      <c r="E1578" s="131"/>
      <c r="F1578" s="618"/>
      <c r="G1578" s="618"/>
      <c r="H1578" s="618"/>
      <c r="I1578" s="619"/>
      <c r="J1578" s="619"/>
      <c r="K1578" s="603"/>
      <c r="L1578" s="603"/>
      <c r="M1578" s="603"/>
      <c r="N1578" s="553"/>
      <c r="O1578" s="603"/>
      <c r="P1578" s="603"/>
      <c r="Q1578" s="603"/>
      <c r="R1578" s="620"/>
      <c r="S1578" s="553"/>
      <c r="T1578" s="553"/>
      <c r="U1578" s="621"/>
      <c r="V1578" s="553"/>
      <c r="W1578" s="624"/>
      <c r="Y1578" s="443"/>
    </row>
    <row r="1579" ht="15.75" customHeight="1">
      <c r="A1579" s="622"/>
      <c r="B1579" s="623"/>
      <c r="C1579" s="490"/>
      <c r="D1579" s="617"/>
      <c r="E1579" s="131"/>
      <c r="F1579" s="618"/>
      <c r="G1579" s="618"/>
      <c r="H1579" s="618"/>
      <c r="I1579" s="619"/>
      <c r="J1579" s="619"/>
      <c r="K1579" s="603"/>
      <c r="L1579" s="603"/>
      <c r="M1579" s="603"/>
      <c r="N1579" s="553"/>
      <c r="O1579" s="603"/>
      <c r="P1579" s="603"/>
      <c r="Q1579" s="603"/>
      <c r="R1579" s="620"/>
      <c r="S1579" s="553"/>
      <c r="T1579" s="553"/>
      <c r="U1579" s="621"/>
      <c r="V1579" s="553"/>
      <c r="W1579" s="624"/>
      <c r="Y1579" s="443"/>
    </row>
    <row r="1580" ht="15.75" customHeight="1">
      <c r="A1580" s="622"/>
      <c r="B1580" s="623"/>
      <c r="C1580" s="490"/>
      <c r="D1580" s="617"/>
      <c r="E1580" s="131"/>
      <c r="F1580" s="618"/>
      <c r="G1580" s="618"/>
      <c r="H1580" s="618"/>
      <c r="I1580" s="619"/>
      <c r="J1580" s="619"/>
      <c r="K1580" s="603"/>
      <c r="L1580" s="603"/>
      <c r="M1580" s="603"/>
      <c r="N1580" s="553"/>
      <c r="O1580" s="603"/>
      <c r="P1580" s="603"/>
      <c r="Q1580" s="603"/>
      <c r="R1580" s="620"/>
      <c r="S1580" s="553"/>
      <c r="T1580" s="553"/>
      <c r="U1580" s="621"/>
      <c r="V1580" s="553"/>
      <c r="W1580" s="624"/>
      <c r="Y1580" s="443"/>
    </row>
    <row r="1581" ht="15.75" customHeight="1">
      <c r="A1581" s="622"/>
      <c r="B1581" s="623"/>
      <c r="C1581" s="490"/>
      <c r="D1581" s="617"/>
      <c r="E1581" s="131"/>
      <c r="F1581" s="618"/>
      <c r="G1581" s="618"/>
      <c r="H1581" s="618"/>
      <c r="I1581" s="619"/>
      <c r="J1581" s="619"/>
      <c r="K1581" s="603"/>
      <c r="L1581" s="603"/>
      <c r="M1581" s="603"/>
      <c r="N1581" s="553"/>
      <c r="O1581" s="603"/>
      <c r="P1581" s="603"/>
      <c r="Q1581" s="603"/>
      <c r="R1581" s="620"/>
      <c r="S1581" s="553"/>
      <c r="T1581" s="553"/>
      <c r="U1581" s="621"/>
      <c r="V1581" s="553"/>
      <c r="W1581" s="624"/>
      <c r="Y1581" s="443"/>
    </row>
    <row r="1582" ht="15.75" customHeight="1">
      <c r="A1582" s="622"/>
      <c r="B1582" s="623"/>
      <c r="C1582" s="490"/>
      <c r="D1582" s="617"/>
      <c r="E1582" s="131"/>
      <c r="F1582" s="618"/>
      <c r="G1582" s="618"/>
      <c r="H1582" s="618"/>
      <c r="I1582" s="619"/>
      <c r="J1582" s="619"/>
      <c r="K1582" s="603"/>
      <c r="L1582" s="603"/>
      <c r="M1582" s="603"/>
      <c r="N1582" s="553"/>
      <c r="O1582" s="603"/>
      <c r="P1582" s="603"/>
      <c r="Q1582" s="603"/>
      <c r="R1582" s="620"/>
      <c r="S1582" s="553"/>
      <c r="T1582" s="553"/>
      <c r="U1582" s="621"/>
      <c r="V1582" s="553"/>
      <c r="W1582" s="624"/>
      <c r="Y1582" s="443"/>
    </row>
    <row r="1583" ht="15.75" customHeight="1">
      <c r="A1583" s="622"/>
      <c r="B1583" s="623"/>
      <c r="C1583" s="490"/>
      <c r="D1583" s="617"/>
      <c r="E1583" s="131"/>
      <c r="F1583" s="618"/>
      <c r="G1583" s="618"/>
      <c r="H1583" s="618"/>
      <c r="I1583" s="619"/>
      <c r="J1583" s="619"/>
      <c r="K1583" s="603"/>
      <c r="L1583" s="603"/>
      <c r="M1583" s="603"/>
      <c r="N1583" s="553"/>
      <c r="O1583" s="603"/>
      <c r="P1583" s="603"/>
      <c r="Q1583" s="603"/>
      <c r="R1583" s="620"/>
      <c r="S1583" s="553"/>
      <c r="T1583" s="553"/>
      <c r="U1583" s="621"/>
      <c r="V1583" s="553"/>
      <c r="W1583" s="624"/>
      <c r="Y1583" s="443"/>
    </row>
    <row r="1584" ht="15.75" customHeight="1">
      <c r="A1584" s="622"/>
      <c r="B1584" s="623"/>
      <c r="C1584" s="490"/>
      <c r="D1584" s="617"/>
      <c r="E1584" s="131"/>
      <c r="F1584" s="618"/>
      <c r="G1584" s="618"/>
      <c r="H1584" s="618"/>
      <c r="I1584" s="619"/>
      <c r="J1584" s="619"/>
      <c r="K1584" s="603"/>
      <c r="L1584" s="603"/>
      <c r="M1584" s="603"/>
      <c r="N1584" s="553"/>
      <c r="O1584" s="603"/>
      <c r="P1584" s="603"/>
      <c r="Q1584" s="603"/>
      <c r="R1584" s="620"/>
      <c r="S1584" s="553"/>
      <c r="T1584" s="553"/>
      <c r="U1584" s="621"/>
      <c r="V1584" s="553"/>
      <c r="W1584" s="624"/>
      <c r="Y1584" s="443"/>
    </row>
    <row r="1585" ht="15.75" customHeight="1">
      <c r="A1585" s="622"/>
      <c r="B1585" s="623"/>
      <c r="C1585" s="490"/>
      <c r="D1585" s="617"/>
      <c r="E1585" s="131"/>
      <c r="F1585" s="618"/>
      <c r="G1585" s="618"/>
      <c r="H1585" s="618"/>
      <c r="I1585" s="619"/>
      <c r="J1585" s="619"/>
      <c r="K1585" s="603"/>
      <c r="L1585" s="603"/>
      <c r="M1585" s="603"/>
      <c r="N1585" s="553"/>
      <c r="O1585" s="603"/>
      <c r="P1585" s="603"/>
      <c r="Q1585" s="603"/>
      <c r="R1585" s="620"/>
      <c r="S1585" s="553"/>
      <c r="T1585" s="553"/>
      <c r="U1585" s="621"/>
      <c r="V1585" s="553"/>
      <c r="W1585" s="624"/>
      <c r="Y1585" s="443"/>
    </row>
    <row r="1586" ht="15.75" customHeight="1">
      <c r="A1586" s="622"/>
      <c r="B1586" s="623"/>
      <c r="C1586" s="490"/>
      <c r="D1586" s="617"/>
      <c r="E1586" s="131"/>
      <c r="F1586" s="618"/>
      <c r="G1586" s="618"/>
      <c r="H1586" s="618"/>
      <c r="I1586" s="619"/>
      <c r="J1586" s="619"/>
      <c r="K1586" s="603"/>
      <c r="L1586" s="603"/>
      <c r="M1586" s="603"/>
      <c r="N1586" s="553"/>
      <c r="O1586" s="603"/>
      <c r="P1586" s="603"/>
      <c r="Q1586" s="603"/>
      <c r="R1586" s="620"/>
      <c r="S1586" s="553"/>
      <c r="T1586" s="553"/>
      <c r="U1586" s="621"/>
      <c r="V1586" s="553"/>
      <c r="W1586" s="624"/>
      <c r="Y1586" s="443"/>
    </row>
    <row r="1587" ht="15.75" customHeight="1">
      <c r="A1587" s="622"/>
      <c r="B1587" s="623"/>
      <c r="C1587" s="490"/>
      <c r="D1587" s="617"/>
      <c r="E1587" s="131"/>
      <c r="F1587" s="618"/>
      <c r="G1587" s="618"/>
      <c r="H1587" s="618"/>
      <c r="I1587" s="619"/>
      <c r="J1587" s="619"/>
      <c r="K1587" s="603"/>
      <c r="L1587" s="603"/>
      <c r="M1587" s="603"/>
      <c r="N1587" s="553"/>
      <c r="O1587" s="603"/>
      <c r="P1587" s="603"/>
      <c r="Q1587" s="603"/>
      <c r="R1587" s="620"/>
      <c r="S1587" s="553"/>
      <c r="T1587" s="553"/>
      <c r="U1587" s="621"/>
      <c r="V1587" s="553"/>
      <c r="W1587" s="624"/>
      <c r="Y1587" s="443"/>
    </row>
    <row r="1588" ht="15.75" customHeight="1">
      <c r="A1588" s="622"/>
      <c r="B1588" s="623"/>
      <c r="C1588" s="490"/>
      <c r="D1588" s="617"/>
      <c r="E1588" s="131"/>
      <c r="F1588" s="618"/>
      <c r="G1588" s="618"/>
      <c r="H1588" s="618"/>
      <c r="I1588" s="619"/>
      <c r="J1588" s="619"/>
      <c r="K1588" s="603"/>
      <c r="L1588" s="603"/>
      <c r="M1588" s="603"/>
      <c r="N1588" s="553"/>
      <c r="O1588" s="603"/>
      <c r="P1588" s="603"/>
      <c r="Q1588" s="603"/>
      <c r="R1588" s="620"/>
      <c r="S1588" s="553"/>
      <c r="T1588" s="553"/>
      <c r="U1588" s="621"/>
      <c r="V1588" s="553"/>
      <c r="W1588" s="624"/>
      <c r="Y1588" s="443"/>
    </row>
    <row r="1589" ht="15.75" customHeight="1">
      <c r="A1589" s="622"/>
      <c r="B1589" s="623"/>
      <c r="C1589" s="490"/>
      <c r="D1589" s="617"/>
      <c r="E1589" s="131"/>
      <c r="F1589" s="618"/>
      <c r="G1589" s="618"/>
      <c r="H1589" s="618"/>
      <c r="I1589" s="619"/>
      <c r="J1589" s="619"/>
      <c r="K1589" s="603"/>
      <c r="L1589" s="603"/>
      <c r="M1589" s="603"/>
      <c r="N1589" s="553"/>
      <c r="O1589" s="603"/>
      <c r="P1589" s="603"/>
      <c r="Q1589" s="603"/>
      <c r="R1589" s="620"/>
      <c r="S1589" s="553"/>
      <c r="T1589" s="553"/>
      <c r="U1589" s="621"/>
      <c r="V1589" s="553"/>
      <c r="W1589" s="624"/>
      <c r="Y1589" s="443"/>
    </row>
    <row r="1590" ht="15.75" customHeight="1">
      <c r="A1590" s="622"/>
      <c r="B1590" s="623"/>
      <c r="C1590" s="490"/>
      <c r="D1590" s="617"/>
      <c r="E1590" s="131"/>
      <c r="F1590" s="618"/>
      <c r="G1590" s="618"/>
      <c r="H1590" s="618"/>
      <c r="I1590" s="619"/>
      <c r="J1590" s="619"/>
      <c r="K1590" s="603"/>
      <c r="L1590" s="603"/>
      <c r="M1590" s="603"/>
      <c r="N1590" s="553"/>
      <c r="O1590" s="603"/>
      <c r="P1590" s="603"/>
      <c r="Q1590" s="603"/>
      <c r="R1590" s="620"/>
      <c r="S1590" s="553"/>
      <c r="T1590" s="553"/>
      <c r="U1590" s="621"/>
      <c r="V1590" s="553"/>
      <c r="W1590" s="624"/>
      <c r="Y1590" s="443"/>
    </row>
    <row r="1591" ht="15.75" customHeight="1">
      <c r="A1591" s="622"/>
      <c r="B1591" s="623"/>
      <c r="C1591" s="490"/>
      <c r="D1591" s="617"/>
      <c r="E1591" s="131"/>
      <c r="F1591" s="618"/>
      <c r="G1591" s="618"/>
      <c r="H1591" s="618"/>
      <c r="I1591" s="619"/>
      <c r="J1591" s="619"/>
      <c r="K1591" s="603"/>
      <c r="L1591" s="603"/>
      <c r="M1591" s="603"/>
      <c r="N1591" s="553"/>
      <c r="O1591" s="603"/>
      <c r="P1591" s="603"/>
      <c r="Q1591" s="603"/>
      <c r="R1591" s="620"/>
      <c r="S1591" s="553"/>
      <c r="T1591" s="553"/>
      <c r="U1591" s="621"/>
      <c r="V1591" s="553"/>
      <c r="W1591" s="624"/>
      <c r="Y1591" s="443"/>
    </row>
    <row r="1592" ht="15.75" customHeight="1">
      <c r="A1592" s="622"/>
      <c r="B1592" s="623"/>
      <c r="C1592" s="490"/>
      <c r="D1592" s="617"/>
      <c r="E1592" s="131"/>
      <c r="F1592" s="618"/>
      <c r="G1592" s="618"/>
      <c r="H1592" s="618"/>
      <c r="I1592" s="619"/>
      <c r="J1592" s="619"/>
      <c r="K1592" s="603"/>
      <c r="L1592" s="603"/>
      <c r="M1592" s="603"/>
      <c r="N1592" s="553"/>
      <c r="O1592" s="603"/>
      <c r="P1592" s="603"/>
      <c r="Q1592" s="603"/>
      <c r="R1592" s="620"/>
      <c r="S1592" s="553"/>
      <c r="T1592" s="553"/>
      <c r="U1592" s="621"/>
      <c r="V1592" s="553"/>
      <c r="W1592" s="624"/>
      <c r="Y1592" s="443"/>
    </row>
    <row r="1593" ht="15.75" customHeight="1">
      <c r="A1593" s="622"/>
      <c r="B1593" s="623"/>
      <c r="C1593" s="490"/>
      <c r="D1593" s="617"/>
      <c r="E1593" s="131"/>
      <c r="F1593" s="618"/>
      <c r="G1593" s="618"/>
      <c r="H1593" s="618"/>
      <c r="I1593" s="619"/>
      <c r="J1593" s="619"/>
      <c r="K1593" s="603"/>
      <c r="L1593" s="603"/>
      <c r="M1593" s="603"/>
      <c r="N1593" s="553"/>
      <c r="O1593" s="603"/>
      <c r="P1593" s="603"/>
      <c r="Q1593" s="603"/>
      <c r="R1593" s="620"/>
      <c r="S1593" s="553"/>
      <c r="T1593" s="553"/>
      <c r="U1593" s="621"/>
      <c r="V1593" s="553"/>
      <c r="W1593" s="624"/>
      <c r="Y1593" s="443"/>
    </row>
    <row r="1594" ht="15.75" customHeight="1">
      <c r="A1594" s="622"/>
      <c r="B1594" s="623"/>
      <c r="C1594" s="490"/>
      <c r="D1594" s="617"/>
      <c r="E1594" s="131"/>
      <c r="F1594" s="618"/>
      <c r="G1594" s="618"/>
      <c r="H1594" s="618"/>
      <c r="I1594" s="619"/>
      <c r="J1594" s="619"/>
      <c r="K1594" s="603"/>
      <c r="L1594" s="603"/>
      <c r="M1594" s="603"/>
      <c r="N1594" s="553"/>
      <c r="O1594" s="603"/>
      <c r="P1594" s="603"/>
      <c r="Q1594" s="603"/>
      <c r="R1594" s="620"/>
      <c r="S1594" s="553"/>
      <c r="T1594" s="553"/>
      <c r="U1594" s="621"/>
      <c r="V1594" s="553"/>
      <c r="W1594" s="624"/>
      <c r="Y1594" s="443"/>
    </row>
    <row r="1595" ht="15.75" customHeight="1">
      <c r="A1595" s="622"/>
      <c r="B1595" s="623"/>
      <c r="C1595" s="490"/>
      <c r="D1595" s="617"/>
      <c r="E1595" s="131"/>
      <c r="F1595" s="618"/>
      <c r="G1595" s="618"/>
      <c r="H1595" s="618"/>
      <c r="I1595" s="619"/>
      <c r="J1595" s="619"/>
      <c r="K1595" s="603"/>
      <c r="L1595" s="603"/>
      <c r="M1595" s="603"/>
      <c r="N1595" s="553"/>
      <c r="O1595" s="603"/>
      <c r="P1595" s="603"/>
      <c r="Q1595" s="603"/>
      <c r="R1595" s="620"/>
      <c r="S1595" s="553"/>
      <c r="T1595" s="553"/>
      <c r="U1595" s="621"/>
      <c r="V1595" s="553"/>
      <c r="W1595" s="624"/>
      <c r="Y1595" s="443"/>
    </row>
    <row r="1596" ht="15.75" customHeight="1">
      <c r="A1596" s="622"/>
      <c r="B1596" s="623"/>
      <c r="C1596" s="490"/>
      <c r="D1596" s="617"/>
      <c r="E1596" s="131"/>
      <c r="F1596" s="618"/>
      <c r="G1596" s="618"/>
      <c r="H1596" s="618"/>
      <c r="I1596" s="619"/>
      <c r="J1596" s="619"/>
      <c r="K1596" s="603"/>
      <c r="L1596" s="603"/>
      <c r="M1596" s="603"/>
      <c r="N1596" s="553"/>
      <c r="O1596" s="603"/>
      <c r="P1596" s="603"/>
      <c r="Q1596" s="603"/>
      <c r="R1596" s="620"/>
      <c r="S1596" s="553"/>
      <c r="T1596" s="553"/>
      <c r="U1596" s="621"/>
      <c r="V1596" s="553"/>
      <c r="W1596" s="624"/>
      <c r="Y1596" s="443"/>
    </row>
    <row r="1597" ht="15.75" customHeight="1">
      <c r="A1597" s="622"/>
      <c r="B1597" s="623"/>
      <c r="C1597" s="490"/>
      <c r="D1597" s="617"/>
      <c r="E1597" s="131"/>
      <c r="F1597" s="618"/>
      <c r="G1597" s="618"/>
      <c r="H1597" s="618"/>
      <c r="I1597" s="619"/>
      <c r="J1597" s="619"/>
      <c r="K1597" s="603"/>
      <c r="L1597" s="603"/>
      <c r="M1597" s="603"/>
      <c r="N1597" s="553"/>
      <c r="O1597" s="603"/>
      <c r="P1597" s="603"/>
      <c r="Q1597" s="603"/>
      <c r="R1597" s="620"/>
      <c r="S1597" s="553"/>
      <c r="T1597" s="553"/>
      <c r="U1597" s="621"/>
      <c r="V1597" s="553"/>
      <c r="W1597" s="624"/>
      <c r="Y1597" s="443"/>
    </row>
    <row r="1598" ht="15.75" customHeight="1">
      <c r="A1598" s="622"/>
      <c r="B1598" s="623"/>
      <c r="C1598" s="490"/>
      <c r="D1598" s="617"/>
      <c r="E1598" s="131"/>
      <c r="F1598" s="618"/>
      <c r="G1598" s="618"/>
      <c r="H1598" s="618"/>
      <c r="I1598" s="619"/>
      <c r="J1598" s="619"/>
      <c r="K1598" s="603"/>
      <c r="L1598" s="603"/>
      <c r="M1598" s="603"/>
      <c r="N1598" s="553"/>
      <c r="O1598" s="603"/>
      <c r="P1598" s="603"/>
      <c r="Q1598" s="603"/>
      <c r="R1598" s="620"/>
      <c r="S1598" s="553"/>
      <c r="T1598" s="553"/>
      <c r="U1598" s="621"/>
      <c r="V1598" s="553"/>
      <c r="W1598" s="624"/>
      <c r="Y1598" s="443"/>
    </row>
  </sheetData>
  <autoFilter ref="$E$1:$E$1348"/>
  <mergeCells count="791">
    <mergeCell ref="B985:B991"/>
    <mergeCell ref="C985:C991"/>
    <mergeCell ref="A971:A977"/>
    <mergeCell ref="B971:B977"/>
    <mergeCell ref="C971:C977"/>
    <mergeCell ref="A978:A984"/>
    <mergeCell ref="B978:B984"/>
    <mergeCell ref="C978:C984"/>
    <mergeCell ref="A985:A991"/>
    <mergeCell ref="B1006:B1012"/>
    <mergeCell ref="C1006:C1012"/>
    <mergeCell ref="A992:A998"/>
    <mergeCell ref="B992:B998"/>
    <mergeCell ref="C992:C998"/>
    <mergeCell ref="A999:A1005"/>
    <mergeCell ref="B999:B1005"/>
    <mergeCell ref="C999:C1005"/>
    <mergeCell ref="A1006:A1012"/>
    <mergeCell ref="B1027:B1033"/>
    <mergeCell ref="C1027:C1033"/>
    <mergeCell ref="A1013:A1019"/>
    <mergeCell ref="B1013:B1019"/>
    <mergeCell ref="C1013:C1019"/>
    <mergeCell ref="A1020:A1026"/>
    <mergeCell ref="B1020:B1026"/>
    <mergeCell ref="C1020:C1026"/>
    <mergeCell ref="A1027:A1033"/>
    <mergeCell ref="B1048:B1054"/>
    <mergeCell ref="C1048:C1054"/>
    <mergeCell ref="A1034:A1040"/>
    <mergeCell ref="B1034:B1040"/>
    <mergeCell ref="C1034:C1040"/>
    <mergeCell ref="A1041:A1047"/>
    <mergeCell ref="B1041:B1047"/>
    <mergeCell ref="C1041:C1047"/>
    <mergeCell ref="A1048:A1054"/>
    <mergeCell ref="B1069:B1075"/>
    <mergeCell ref="C1069:C1075"/>
    <mergeCell ref="A1055:A1061"/>
    <mergeCell ref="B1055:B1061"/>
    <mergeCell ref="C1055:C1061"/>
    <mergeCell ref="A1062:A1068"/>
    <mergeCell ref="B1062:B1068"/>
    <mergeCell ref="C1062:C1068"/>
    <mergeCell ref="A1069:A1075"/>
    <mergeCell ref="B1090:B1096"/>
    <mergeCell ref="C1090:C1096"/>
    <mergeCell ref="A1076:A1082"/>
    <mergeCell ref="B1076:B1082"/>
    <mergeCell ref="C1076:C1082"/>
    <mergeCell ref="A1083:A1089"/>
    <mergeCell ref="B1083:B1089"/>
    <mergeCell ref="C1083:C1089"/>
    <mergeCell ref="A1090:A1096"/>
    <mergeCell ref="B1111:B1117"/>
    <mergeCell ref="C1111:C1117"/>
    <mergeCell ref="A1097:A1103"/>
    <mergeCell ref="B1097:B1103"/>
    <mergeCell ref="C1097:C1103"/>
    <mergeCell ref="A1104:A1110"/>
    <mergeCell ref="B1104:B1110"/>
    <mergeCell ref="C1104:C1110"/>
    <mergeCell ref="A1111:A1117"/>
    <mergeCell ref="B1279:B1285"/>
    <mergeCell ref="C1279:C1285"/>
    <mergeCell ref="A1265:A1271"/>
    <mergeCell ref="B1265:B1271"/>
    <mergeCell ref="C1265:C1271"/>
    <mergeCell ref="A1272:A1278"/>
    <mergeCell ref="B1272:B1278"/>
    <mergeCell ref="C1272:C1278"/>
    <mergeCell ref="A1279:A1285"/>
    <mergeCell ref="B1300:B1306"/>
    <mergeCell ref="C1300:C1306"/>
    <mergeCell ref="A1286:A1292"/>
    <mergeCell ref="B1286:B1292"/>
    <mergeCell ref="C1286:C1292"/>
    <mergeCell ref="A1293:A1299"/>
    <mergeCell ref="B1293:B1299"/>
    <mergeCell ref="C1293:C1299"/>
    <mergeCell ref="A1300:A1306"/>
    <mergeCell ref="B1321:B1327"/>
    <mergeCell ref="C1321:C1327"/>
    <mergeCell ref="A1307:A1313"/>
    <mergeCell ref="B1307:B1313"/>
    <mergeCell ref="C1307:C1313"/>
    <mergeCell ref="A1314:A1320"/>
    <mergeCell ref="B1314:B1320"/>
    <mergeCell ref="C1314:C1320"/>
    <mergeCell ref="A1321:A1327"/>
    <mergeCell ref="B1342:B1348"/>
    <mergeCell ref="C1342:C1348"/>
    <mergeCell ref="A1328:A1334"/>
    <mergeCell ref="B1328:B1334"/>
    <mergeCell ref="C1328:C1334"/>
    <mergeCell ref="A1335:A1341"/>
    <mergeCell ref="B1335:B1341"/>
    <mergeCell ref="C1335:C1341"/>
    <mergeCell ref="A1342:A1348"/>
    <mergeCell ref="B65:B71"/>
    <mergeCell ref="C65:C71"/>
    <mergeCell ref="A51:A57"/>
    <mergeCell ref="B51:B57"/>
    <mergeCell ref="C51:C57"/>
    <mergeCell ref="A58:A64"/>
    <mergeCell ref="B58:B64"/>
    <mergeCell ref="C58:C64"/>
    <mergeCell ref="A65:A71"/>
    <mergeCell ref="B114:B120"/>
    <mergeCell ref="C114:C120"/>
    <mergeCell ref="A100:A106"/>
    <mergeCell ref="B100:B106"/>
    <mergeCell ref="C100:C106"/>
    <mergeCell ref="A107:A113"/>
    <mergeCell ref="B107:B113"/>
    <mergeCell ref="C107:C113"/>
    <mergeCell ref="A114:A120"/>
    <mergeCell ref="B135:B141"/>
    <mergeCell ref="C135:C141"/>
    <mergeCell ref="A121:A127"/>
    <mergeCell ref="B121:B127"/>
    <mergeCell ref="C121:C127"/>
    <mergeCell ref="A128:A134"/>
    <mergeCell ref="B128:B134"/>
    <mergeCell ref="C128:C134"/>
    <mergeCell ref="A135:A141"/>
    <mergeCell ref="B1363:B1369"/>
    <mergeCell ref="C1363:C1369"/>
    <mergeCell ref="A1349:A1355"/>
    <mergeCell ref="B1349:B1355"/>
    <mergeCell ref="C1349:C1355"/>
    <mergeCell ref="A1356:A1362"/>
    <mergeCell ref="B1356:B1362"/>
    <mergeCell ref="C1356:C1362"/>
    <mergeCell ref="A1363:A1369"/>
    <mergeCell ref="B1132:B1138"/>
    <mergeCell ref="C1132:C1138"/>
    <mergeCell ref="A1118:A1124"/>
    <mergeCell ref="B1118:B1124"/>
    <mergeCell ref="C1118:C1124"/>
    <mergeCell ref="A1125:A1131"/>
    <mergeCell ref="B1125:B1131"/>
    <mergeCell ref="C1125:C1131"/>
    <mergeCell ref="A1132:A1138"/>
    <mergeCell ref="B1153:B1159"/>
    <mergeCell ref="C1153:C1159"/>
    <mergeCell ref="A1139:A1145"/>
    <mergeCell ref="B1139:B1145"/>
    <mergeCell ref="C1139:C1145"/>
    <mergeCell ref="A1146:A1152"/>
    <mergeCell ref="B1146:B1152"/>
    <mergeCell ref="C1146:C1152"/>
    <mergeCell ref="A1153:A1159"/>
    <mergeCell ref="B1174:B1180"/>
    <mergeCell ref="C1174:C1180"/>
    <mergeCell ref="A1160:A1166"/>
    <mergeCell ref="B1160:B1166"/>
    <mergeCell ref="C1160:C1166"/>
    <mergeCell ref="A1167:A1173"/>
    <mergeCell ref="B1167:B1173"/>
    <mergeCell ref="C1167:C1173"/>
    <mergeCell ref="A1174:A1180"/>
    <mergeCell ref="B1195:B1201"/>
    <mergeCell ref="C1195:C1201"/>
    <mergeCell ref="A1181:A1187"/>
    <mergeCell ref="B1181:B1187"/>
    <mergeCell ref="C1181:C1187"/>
    <mergeCell ref="A1188:A1194"/>
    <mergeCell ref="B1188:B1194"/>
    <mergeCell ref="C1188:C1194"/>
    <mergeCell ref="A1195:A1201"/>
    <mergeCell ref="B1216:B1222"/>
    <mergeCell ref="C1216:C1222"/>
    <mergeCell ref="A1202:A1208"/>
    <mergeCell ref="B1202:B1208"/>
    <mergeCell ref="C1202:C1208"/>
    <mergeCell ref="A1209:A1215"/>
    <mergeCell ref="B1209:B1215"/>
    <mergeCell ref="C1209:C1215"/>
    <mergeCell ref="A1216:A1222"/>
    <mergeCell ref="B1237:B1243"/>
    <mergeCell ref="C1237:C1243"/>
    <mergeCell ref="A1223:A1229"/>
    <mergeCell ref="B1223:B1229"/>
    <mergeCell ref="C1223:C1229"/>
    <mergeCell ref="A1230:A1236"/>
    <mergeCell ref="B1230:B1236"/>
    <mergeCell ref="C1230:C1236"/>
    <mergeCell ref="A1237:A1243"/>
    <mergeCell ref="B1258:B1264"/>
    <mergeCell ref="C1258:C1264"/>
    <mergeCell ref="A1244:A1250"/>
    <mergeCell ref="B1244:B1250"/>
    <mergeCell ref="C1244:C1250"/>
    <mergeCell ref="A1251:A1257"/>
    <mergeCell ref="B1251:B1257"/>
    <mergeCell ref="C1251:C1257"/>
    <mergeCell ref="A1258:A1264"/>
    <mergeCell ref="B261:B267"/>
    <mergeCell ref="C261:C267"/>
    <mergeCell ref="A247:A253"/>
    <mergeCell ref="B247:B253"/>
    <mergeCell ref="C247:C253"/>
    <mergeCell ref="A254:A260"/>
    <mergeCell ref="B254:B260"/>
    <mergeCell ref="C254:C260"/>
    <mergeCell ref="A261:A267"/>
    <mergeCell ref="B282:B288"/>
    <mergeCell ref="C282:C288"/>
    <mergeCell ref="A268:A274"/>
    <mergeCell ref="B268:B274"/>
    <mergeCell ref="C268:C274"/>
    <mergeCell ref="A275:A281"/>
    <mergeCell ref="B275:B281"/>
    <mergeCell ref="C275:C281"/>
    <mergeCell ref="A282:A288"/>
    <mergeCell ref="B303:B309"/>
    <mergeCell ref="C303:C309"/>
    <mergeCell ref="A289:A295"/>
    <mergeCell ref="B289:B295"/>
    <mergeCell ref="C289:C295"/>
    <mergeCell ref="A296:A302"/>
    <mergeCell ref="B296:B302"/>
    <mergeCell ref="C296:C302"/>
    <mergeCell ref="A303:A309"/>
    <mergeCell ref="B345:B350"/>
    <mergeCell ref="C345:C350"/>
    <mergeCell ref="A331:A337"/>
    <mergeCell ref="B331:B337"/>
    <mergeCell ref="C331:C337"/>
    <mergeCell ref="A338:A344"/>
    <mergeCell ref="B338:B344"/>
    <mergeCell ref="C338:C344"/>
    <mergeCell ref="A345:A350"/>
    <mergeCell ref="B363:B368"/>
    <mergeCell ref="C363:C368"/>
    <mergeCell ref="A351:A356"/>
    <mergeCell ref="B351:B356"/>
    <mergeCell ref="C351:C356"/>
    <mergeCell ref="A357:A362"/>
    <mergeCell ref="B357:B362"/>
    <mergeCell ref="C357:C362"/>
    <mergeCell ref="A363:A368"/>
    <mergeCell ref="B381:B386"/>
    <mergeCell ref="C381:C386"/>
    <mergeCell ref="A369:A374"/>
    <mergeCell ref="B369:B374"/>
    <mergeCell ref="C369:C374"/>
    <mergeCell ref="A375:A380"/>
    <mergeCell ref="B375:B380"/>
    <mergeCell ref="C375:C380"/>
    <mergeCell ref="A381:A386"/>
    <mergeCell ref="B399:B404"/>
    <mergeCell ref="C399:C404"/>
    <mergeCell ref="A387:A392"/>
    <mergeCell ref="B387:B392"/>
    <mergeCell ref="C387:C392"/>
    <mergeCell ref="A393:A398"/>
    <mergeCell ref="B393:B398"/>
    <mergeCell ref="C393:C398"/>
    <mergeCell ref="A399:A404"/>
    <mergeCell ref="B324:B330"/>
    <mergeCell ref="C324:C330"/>
    <mergeCell ref="A310:A316"/>
    <mergeCell ref="B310:B316"/>
    <mergeCell ref="C310:C316"/>
    <mergeCell ref="A317:A323"/>
    <mergeCell ref="B317:B323"/>
    <mergeCell ref="C317:C323"/>
    <mergeCell ref="A324:A330"/>
    <mergeCell ref="B418:B424"/>
    <mergeCell ref="C418:C424"/>
    <mergeCell ref="A405:A410"/>
    <mergeCell ref="B405:B410"/>
    <mergeCell ref="C405:C410"/>
    <mergeCell ref="A411:A417"/>
    <mergeCell ref="B411:B417"/>
    <mergeCell ref="C411:C417"/>
    <mergeCell ref="A418:A424"/>
    <mergeCell ref="B439:B445"/>
    <mergeCell ref="C439:C445"/>
    <mergeCell ref="A425:A431"/>
    <mergeCell ref="B425:B431"/>
    <mergeCell ref="C425:C431"/>
    <mergeCell ref="A432:A438"/>
    <mergeCell ref="B432:B438"/>
    <mergeCell ref="C432:C438"/>
    <mergeCell ref="A439:A445"/>
    <mergeCell ref="B460:B466"/>
    <mergeCell ref="C460:C466"/>
    <mergeCell ref="A446:A452"/>
    <mergeCell ref="B446:B452"/>
    <mergeCell ref="C446:C452"/>
    <mergeCell ref="A453:A459"/>
    <mergeCell ref="B453:B459"/>
    <mergeCell ref="C453:C459"/>
    <mergeCell ref="A460:A466"/>
    <mergeCell ref="B481:B487"/>
    <mergeCell ref="C481:C487"/>
    <mergeCell ref="A467:A473"/>
    <mergeCell ref="B467:B473"/>
    <mergeCell ref="C467:C473"/>
    <mergeCell ref="A474:A480"/>
    <mergeCell ref="B474:B480"/>
    <mergeCell ref="C474:C480"/>
    <mergeCell ref="A481:A487"/>
    <mergeCell ref="B502:B508"/>
    <mergeCell ref="C502:C508"/>
    <mergeCell ref="A488:A494"/>
    <mergeCell ref="B488:B494"/>
    <mergeCell ref="C488:C494"/>
    <mergeCell ref="A495:A501"/>
    <mergeCell ref="B495:B501"/>
    <mergeCell ref="C495:C501"/>
    <mergeCell ref="A502:A508"/>
    <mergeCell ref="B523:B529"/>
    <mergeCell ref="C523:C529"/>
    <mergeCell ref="A509:A515"/>
    <mergeCell ref="B509:B515"/>
    <mergeCell ref="C509:C515"/>
    <mergeCell ref="A516:A522"/>
    <mergeCell ref="B516:B522"/>
    <mergeCell ref="C516:C522"/>
    <mergeCell ref="A523:A529"/>
    <mergeCell ref="B544:B550"/>
    <mergeCell ref="C544:C550"/>
    <mergeCell ref="A530:A536"/>
    <mergeCell ref="B530:B536"/>
    <mergeCell ref="C530:C536"/>
    <mergeCell ref="A537:A543"/>
    <mergeCell ref="B537:B543"/>
    <mergeCell ref="C537:C543"/>
    <mergeCell ref="A544:A550"/>
    <mergeCell ref="B565:B571"/>
    <mergeCell ref="C565:C571"/>
    <mergeCell ref="A551:A557"/>
    <mergeCell ref="B551:B557"/>
    <mergeCell ref="C551:C557"/>
    <mergeCell ref="A558:A564"/>
    <mergeCell ref="B558:B564"/>
    <mergeCell ref="C558:C564"/>
    <mergeCell ref="A565:A571"/>
    <mergeCell ref="B586:B592"/>
    <mergeCell ref="C586:C592"/>
    <mergeCell ref="A572:A578"/>
    <mergeCell ref="B572:B578"/>
    <mergeCell ref="C572:C578"/>
    <mergeCell ref="A579:A585"/>
    <mergeCell ref="B579:B585"/>
    <mergeCell ref="C579:C585"/>
    <mergeCell ref="A586:A592"/>
    <mergeCell ref="B607:B613"/>
    <mergeCell ref="C607:C613"/>
    <mergeCell ref="A593:A599"/>
    <mergeCell ref="B593:B599"/>
    <mergeCell ref="C593:C599"/>
    <mergeCell ref="A600:A606"/>
    <mergeCell ref="B600:B606"/>
    <mergeCell ref="C600:C606"/>
    <mergeCell ref="A607:A613"/>
    <mergeCell ref="B628:B634"/>
    <mergeCell ref="C628:C634"/>
    <mergeCell ref="A614:A620"/>
    <mergeCell ref="B614:B620"/>
    <mergeCell ref="C614:C620"/>
    <mergeCell ref="A621:A627"/>
    <mergeCell ref="B621:B627"/>
    <mergeCell ref="C621:C627"/>
    <mergeCell ref="A628:A634"/>
    <mergeCell ref="B649:B655"/>
    <mergeCell ref="C649:C655"/>
    <mergeCell ref="A635:A641"/>
    <mergeCell ref="B635:B641"/>
    <mergeCell ref="C635:C641"/>
    <mergeCell ref="A642:A648"/>
    <mergeCell ref="B642:B648"/>
    <mergeCell ref="C642:C648"/>
    <mergeCell ref="A649:A655"/>
    <mergeCell ref="B670:B676"/>
    <mergeCell ref="C670:C676"/>
    <mergeCell ref="A656:A662"/>
    <mergeCell ref="B656:B662"/>
    <mergeCell ref="C656:C662"/>
    <mergeCell ref="A663:A669"/>
    <mergeCell ref="B663:B669"/>
    <mergeCell ref="C663:C669"/>
    <mergeCell ref="A670:A676"/>
    <mergeCell ref="W375:W380"/>
    <mergeCell ref="W381:W386"/>
    <mergeCell ref="W387:W392"/>
    <mergeCell ref="W393:W398"/>
    <mergeCell ref="W399:W404"/>
    <mergeCell ref="W405:W410"/>
    <mergeCell ref="W411:W417"/>
    <mergeCell ref="W418:W424"/>
    <mergeCell ref="W425:W431"/>
    <mergeCell ref="W432:W438"/>
    <mergeCell ref="W439:W445"/>
    <mergeCell ref="W446:W452"/>
    <mergeCell ref="W453:W459"/>
    <mergeCell ref="W460:W466"/>
    <mergeCell ref="W467:W473"/>
    <mergeCell ref="W474:W480"/>
    <mergeCell ref="W481:W487"/>
    <mergeCell ref="W488:W494"/>
    <mergeCell ref="W495:W501"/>
    <mergeCell ref="W502:W508"/>
    <mergeCell ref="W509:W515"/>
    <mergeCell ref="W516:W522"/>
    <mergeCell ref="W523:W529"/>
    <mergeCell ref="W530:W536"/>
    <mergeCell ref="W537:W543"/>
    <mergeCell ref="W544:W550"/>
    <mergeCell ref="W551:W557"/>
    <mergeCell ref="W558:W564"/>
    <mergeCell ref="W565:W571"/>
    <mergeCell ref="W572:W578"/>
    <mergeCell ref="W579:W585"/>
    <mergeCell ref="W586:W592"/>
    <mergeCell ref="W593:W599"/>
    <mergeCell ref="W600:W606"/>
    <mergeCell ref="W607:W613"/>
    <mergeCell ref="W614:W620"/>
    <mergeCell ref="W621:W627"/>
    <mergeCell ref="W628:W634"/>
    <mergeCell ref="W635:W641"/>
    <mergeCell ref="W642:W648"/>
    <mergeCell ref="W649:W655"/>
    <mergeCell ref="W656:W662"/>
    <mergeCell ref="W663:W669"/>
    <mergeCell ref="W670:W676"/>
    <mergeCell ref="W677:W683"/>
    <mergeCell ref="W684:W690"/>
    <mergeCell ref="W691:W697"/>
    <mergeCell ref="W698:W704"/>
    <mergeCell ref="W705:W711"/>
    <mergeCell ref="W1055:W1061"/>
    <mergeCell ref="W1062:W1068"/>
    <mergeCell ref="W1069:W1075"/>
    <mergeCell ref="W1076:W1082"/>
    <mergeCell ref="W1083:W1089"/>
    <mergeCell ref="W1090:W1096"/>
    <mergeCell ref="W1097:W1103"/>
    <mergeCell ref="W1104:W1110"/>
    <mergeCell ref="W1111:W1117"/>
    <mergeCell ref="W1118:W1124"/>
    <mergeCell ref="W1125:W1131"/>
    <mergeCell ref="W1132:W1138"/>
    <mergeCell ref="W1139:W1145"/>
    <mergeCell ref="W1146:W1152"/>
    <mergeCell ref="W1153:W1159"/>
    <mergeCell ref="W1160:W1166"/>
    <mergeCell ref="W1167:W1173"/>
    <mergeCell ref="W1174:W1180"/>
    <mergeCell ref="W1181:W1187"/>
    <mergeCell ref="W1188:W1194"/>
    <mergeCell ref="W1195:W1201"/>
    <mergeCell ref="W1202:W1208"/>
    <mergeCell ref="W1209:W1215"/>
    <mergeCell ref="W1216:W1222"/>
    <mergeCell ref="W1223:W1229"/>
    <mergeCell ref="W1230:W1236"/>
    <mergeCell ref="W1237:W1243"/>
    <mergeCell ref="W1244:W1250"/>
    <mergeCell ref="W1251:W1257"/>
    <mergeCell ref="W1258:W1264"/>
    <mergeCell ref="W1265:W1271"/>
    <mergeCell ref="W1272:W1278"/>
    <mergeCell ref="W1279:W1285"/>
    <mergeCell ref="W1286:W1292"/>
    <mergeCell ref="W1293:W1299"/>
    <mergeCell ref="W1349:W1355"/>
    <mergeCell ref="W1356:W1362"/>
    <mergeCell ref="W1363:W1369"/>
    <mergeCell ref="W1300:W1306"/>
    <mergeCell ref="W1307:W1313"/>
    <mergeCell ref="W1314:W1320"/>
    <mergeCell ref="W1321:W1327"/>
    <mergeCell ref="W1328:W1334"/>
    <mergeCell ref="W1335:W1341"/>
    <mergeCell ref="W1342:W1348"/>
    <mergeCell ref="W712:W718"/>
    <mergeCell ref="W719:W725"/>
    <mergeCell ref="W726:W732"/>
    <mergeCell ref="W733:W739"/>
    <mergeCell ref="W740:W746"/>
    <mergeCell ref="W747:W753"/>
    <mergeCell ref="W754:W760"/>
    <mergeCell ref="W761:W767"/>
    <mergeCell ref="W768:W774"/>
    <mergeCell ref="W775:W781"/>
    <mergeCell ref="W782:W788"/>
    <mergeCell ref="W789:W795"/>
    <mergeCell ref="W796:W802"/>
    <mergeCell ref="W803:W809"/>
    <mergeCell ref="W810:W816"/>
    <mergeCell ref="W817:W823"/>
    <mergeCell ref="W824:W830"/>
    <mergeCell ref="W831:W837"/>
    <mergeCell ref="W838:W844"/>
    <mergeCell ref="W845:W851"/>
    <mergeCell ref="W852:W858"/>
    <mergeCell ref="W859:W865"/>
    <mergeCell ref="W866:W872"/>
    <mergeCell ref="W873:W879"/>
    <mergeCell ref="W880:W886"/>
    <mergeCell ref="W887:W893"/>
    <mergeCell ref="W894:W900"/>
    <mergeCell ref="W901:W907"/>
    <mergeCell ref="W908:W914"/>
    <mergeCell ref="W915:W921"/>
    <mergeCell ref="W922:W928"/>
    <mergeCell ref="W929:W935"/>
    <mergeCell ref="W936:W942"/>
    <mergeCell ref="W943:W949"/>
    <mergeCell ref="W950:W956"/>
    <mergeCell ref="W957:W963"/>
    <mergeCell ref="W964:W970"/>
    <mergeCell ref="W971:W977"/>
    <mergeCell ref="W978:W984"/>
    <mergeCell ref="W985:W991"/>
    <mergeCell ref="W992:W998"/>
    <mergeCell ref="W999:W1005"/>
    <mergeCell ref="W1006:W1012"/>
    <mergeCell ref="W1013:W1019"/>
    <mergeCell ref="W1020:W1026"/>
    <mergeCell ref="W1027:W1033"/>
    <mergeCell ref="W1034:W1040"/>
    <mergeCell ref="W1041:W1047"/>
    <mergeCell ref="W1048:W1054"/>
    <mergeCell ref="A2:A8"/>
    <mergeCell ref="B2:B8"/>
    <mergeCell ref="C2:C8"/>
    <mergeCell ref="W2:W8"/>
    <mergeCell ref="B9:B15"/>
    <mergeCell ref="C9:C15"/>
    <mergeCell ref="W9:W15"/>
    <mergeCell ref="A9:A15"/>
    <mergeCell ref="A16:A22"/>
    <mergeCell ref="B16:B22"/>
    <mergeCell ref="C16:C22"/>
    <mergeCell ref="A23:A29"/>
    <mergeCell ref="B23:B29"/>
    <mergeCell ref="C23:C29"/>
    <mergeCell ref="B44:B50"/>
    <mergeCell ref="C44:C50"/>
    <mergeCell ref="A30:A36"/>
    <mergeCell ref="B30:B36"/>
    <mergeCell ref="C30:C36"/>
    <mergeCell ref="A37:A43"/>
    <mergeCell ref="B37:B43"/>
    <mergeCell ref="C37:C43"/>
    <mergeCell ref="A44:A50"/>
    <mergeCell ref="A72:A78"/>
    <mergeCell ref="B72:B78"/>
    <mergeCell ref="C72:C78"/>
    <mergeCell ref="A79:A85"/>
    <mergeCell ref="B79:B85"/>
    <mergeCell ref="C79:C85"/>
    <mergeCell ref="W79:W85"/>
    <mergeCell ref="A86:A92"/>
    <mergeCell ref="B86:B92"/>
    <mergeCell ref="C86:C92"/>
    <mergeCell ref="W86:W92"/>
    <mergeCell ref="A93:A99"/>
    <mergeCell ref="B93:B99"/>
    <mergeCell ref="C93:C99"/>
    <mergeCell ref="W93:W99"/>
    <mergeCell ref="B156:B162"/>
    <mergeCell ref="C156:C162"/>
    <mergeCell ref="A142:A148"/>
    <mergeCell ref="B142:B148"/>
    <mergeCell ref="C142:C148"/>
    <mergeCell ref="A149:A155"/>
    <mergeCell ref="B149:B155"/>
    <mergeCell ref="C149:C155"/>
    <mergeCell ref="A156:A162"/>
    <mergeCell ref="B177:B183"/>
    <mergeCell ref="C177:C183"/>
    <mergeCell ref="A163:A169"/>
    <mergeCell ref="B163:B169"/>
    <mergeCell ref="C163:C169"/>
    <mergeCell ref="A170:A176"/>
    <mergeCell ref="B170:B176"/>
    <mergeCell ref="C170:C176"/>
    <mergeCell ref="A177:A183"/>
    <mergeCell ref="B198:B204"/>
    <mergeCell ref="C198:C204"/>
    <mergeCell ref="A184:A190"/>
    <mergeCell ref="B184:B190"/>
    <mergeCell ref="C184:C190"/>
    <mergeCell ref="A191:A197"/>
    <mergeCell ref="B191:B197"/>
    <mergeCell ref="C191:C197"/>
    <mergeCell ref="A198:A204"/>
    <mergeCell ref="B219:B225"/>
    <mergeCell ref="C219:C225"/>
    <mergeCell ref="A205:A211"/>
    <mergeCell ref="B205:B211"/>
    <mergeCell ref="C205:C211"/>
    <mergeCell ref="A212:A218"/>
    <mergeCell ref="B212:B218"/>
    <mergeCell ref="C212:C218"/>
    <mergeCell ref="A219:A225"/>
    <mergeCell ref="B240:B246"/>
    <mergeCell ref="C240:C246"/>
    <mergeCell ref="A226:A232"/>
    <mergeCell ref="B226:B232"/>
    <mergeCell ref="C226:C232"/>
    <mergeCell ref="A233:A239"/>
    <mergeCell ref="B233:B239"/>
    <mergeCell ref="C233:C239"/>
    <mergeCell ref="A240:A246"/>
    <mergeCell ref="W16:W22"/>
    <mergeCell ref="W23:W29"/>
    <mergeCell ref="W30:W36"/>
    <mergeCell ref="W37:W43"/>
    <mergeCell ref="W44:W50"/>
    <mergeCell ref="W51:W57"/>
    <mergeCell ref="W58:W64"/>
    <mergeCell ref="W65:W71"/>
    <mergeCell ref="W72:W78"/>
    <mergeCell ref="W100:W106"/>
    <mergeCell ref="W107:W113"/>
    <mergeCell ref="W114:W120"/>
    <mergeCell ref="W121:W127"/>
    <mergeCell ref="W128:W134"/>
    <mergeCell ref="W135:W141"/>
    <mergeCell ref="W142:W148"/>
    <mergeCell ref="W149:W155"/>
    <mergeCell ref="W156:W162"/>
    <mergeCell ref="W163:W169"/>
    <mergeCell ref="W170:W176"/>
    <mergeCell ref="W177:W183"/>
    <mergeCell ref="W184:W190"/>
    <mergeCell ref="W191:W197"/>
    <mergeCell ref="W198:W204"/>
    <mergeCell ref="W205:W211"/>
    <mergeCell ref="W212:W218"/>
    <mergeCell ref="W219:W225"/>
    <mergeCell ref="W226:W232"/>
    <mergeCell ref="W233:W239"/>
    <mergeCell ref="W240:W246"/>
    <mergeCell ref="W247:W253"/>
    <mergeCell ref="W254:W260"/>
    <mergeCell ref="W261:W267"/>
    <mergeCell ref="W268:W274"/>
    <mergeCell ref="W275:W281"/>
    <mergeCell ref="W282:W288"/>
    <mergeCell ref="W289:W295"/>
    <mergeCell ref="W296:W302"/>
    <mergeCell ref="W303:W309"/>
    <mergeCell ref="W310:W316"/>
    <mergeCell ref="W317:W323"/>
    <mergeCell ref="W324:W330"/>
    <mergeCell ref="W331:W337"/>
    <mergeCell ref="W338:W344"/>
    <mergeCell ref="W345:W350"/>
    <mergeCell ref="W351:W356"/>
    <mergeCell ref="W357:W362"/>
    <mergeCell ref="W363:W368"/>
    <mergeCell ref="W369:W374"/>
    <mergeCell ref="B691:B697"/>
    <mergeCell ref="C691:C697"/>
    <mergeCell ref="A677:A683"/>
    <mergeCell ref="B677:B683"/>
    <mergeCell ref="C677:C683"/>
    <mergeCell ref="A684:A690"/>
    <mergeCell ref="B684:B690"/>
    <mergeCell ref="C684:C690"/>
    <mergeCell ref="A691:A697"/>
    <mergeCell ref="B712:B718"/>
    <mergeCell ref="C712:C718"/>
    <mergeCell ref="A698:A704"/>
    <mergeCell ref="B698:B704"/>
    <mergeCell ref="C698:C704"/>
    <mergeCell ref="A705:A711"/>
    <mergeCell ref="B705:B711"/>
    <mergeCell ref="C705:C711"/>
    <mergeCell ref="A712:A718"/>
    <mergeCell ref="B733:B739"/>
    <mergeCell ref="C733:C739"/>
    <mergeCell ref="A719:A725"/>
    <mergeCell ref="B719:B725"/>
    <mergeCell ref="C719:C725"/>
    <mergeCell ref="A726:A732"/>
    <mergeCell ref="B726:B732"/>
    <mergeCell ref="C726:C732"/>
    <mergeCell ref="A733:A739"/>
    <mergeCell ref="B754:B760"/>
    <mergeCell ref="C754:C760"/>
    <mergeCell ref="A740:A746"/>
    <mergeCell ref="B740:B746"/>
    <mergeCell ref="C740:C746"/>
    <mergeCell ref="A747:A753"/>
    <mergeCell ref="B747:B753"/>
    <mergeCell ref="C747:C753"/>
    <mergeCell ref="A754:A760"/>
    <mergeCell ref="B775:B781"/>
    <mergeCell ref="C775:C781"/>
    <mergeCell ref="A761:A767"/>
    <mergeCell ref="B761:B767"/>
    <mergeCell ref="C761:C767"/>
    <mergeCell ref="A768:A774"/>
    <mergeCell ref="B768:B774"/>
    <mergeCell ref="C768:C774"/>
    <mergeCell ref="A775:A781"/>
    <mergeCell ref="B796:B802"/>
    <mergeCell ref="C796:C802"/>
    <mergeCell ref="A782:A788"/>
    <mergeCell ref="B782:B788"/>
    <mergeCell ref="C782:C788"/>
    <mergeCell ref="A789:A795"/>
    <mergeCell ref="B789:B795"/>
    <mergeCell ref="C789:C795"/>
    <mergeCell ref="A796:A802"/>
    <mergeCell ref="B817:B823"/>
    <mergeCell ref="C817:C823"/>
    <mergeCell ref="A803:A809"/>
    <mergeCell ref="B803:B809"/>
    <mergeCell ref="C803:C809"/>
    <mergeCell ref="A810:A816"/>
    <mergeCell ref="B810:B816"/>
    <mergeCell ref="C810:C816"/>
    <mergeCell ref="A817:A823"/>
    <mergeCell ref="B838:B844"/>
    <mergeCell ref="C838:C844"/>
    <mergeCell ref="A824:A830"/>
    <mergeCell ref="B824:B830"/>
    <mergeCell ref="C824:C830"/>
    <mergeCell ref="A831:A837"/>
    <mergeCell ref="B831:B837"/>
    <mergeCell ref="C831:C837"/>
    <mergeCell ref="A838:A844"/>
    <mergeCell ref="B859:B865"/>
    <mergeCell ref="C859:C865"/>
    <mergeCell ref="A845:A851"/>
    <mergeCell ref="B845:B851"/>
    <mergeCell ref="C845:C851"/>
    <mergeCell ref="A852:A858"/>
    <mergeCell ref="B852:B858"/>
    <mergeCell ref="C852:C858"/>
    <mergeCell ref="A859:A865"/>
    <mergeCell ref="B880:B886"/>
    <mergeCell ref="C880:C886"/>
    <mergeCell ref="A866:A872"/>
    <mergeCell ref="B866:B872"/>
    <mergeCell ref="C866:C872"/>
    <mergeCell ref="A873:A879"/>
    <mergeCell ref="B873:B879"/>
    <mergeCell ref="C873:C879"/>
    <mergeCell ref="A880:A886"/>
    <mergeCell ref="B901:B907"/>
    <mergeCell ref="C901:C907"/>
    <mergeCell ref="A887:A893"/>
    <mergeCell ref="B887:B893"/>
    <mergeCell ref="C887:C893"/>
    <mergeCell ref="A894:A900"/>
    <mergeCell ref="B894:B900"/>
    <mergeCell ref="C894:C900"/>
    <mergeCell ref="A901:A907"/>
    <mergeCell ref="B922:B928"/>
    <mergeCell ref="C922:C928"/>
    <mergeCell ref="A908:A914"/>
    <mergeCell ref="B908:B914"/>
    <mergeCell ref="C908:C914"/>
    <mergeCell ref="A915:A921"/>
    <mergeCell ref="B915:B921"/>
    <mergeCell ref="C915:C921"/>
    <mergeCell ref="A922:A928"/>
    <mergeCell ref="B943:B949"/>
    <mergeCell ref="C943:C949"/>
    <mergeCell ref="A929:A935"/>
    <mergeCell ref="B929:B935"/>
    <mergeCell ref="C929:C935"/>
    <mergeCell ref="A936:A942"/>
    <mergeCell ref="B936:B942"/>
    <mergeCell ref="C936:C942"/>
    <mergeCell ref="A943:A949"/>
    <mergeCell ref="B964:B970"/>
    <mergeCell ref="C964:C970"/>
    <mergeCell ref="D1097:D1103"/>
    <mergeCell ref="E1097:E1103"/>
    <mergeCell ref="F1097:J1103"/>
    <mergeCell ref="A950:A956"/>
    <mergeCell ref="B950:B956"/>
    <mergeCell ref="C950:C956"/>
    <mergeCell ref="A957:A963"/>
    <mergeCell ref="B957:B963"/>
    <mergeCell ref="C957:C963"/>
    <mergeCell ref="A964:A970"/>
  </mergeCells>
  <conditionalFormatting sqref="C1:C1598">
    <cfRule type="expression" dxfId="1" priority="1">
      <formula>C1=$K$1</formula>
    </cfRule>
  </conditionalFormatting>
  <conditionalFormatting sqref="U2:U1598">
    <cfRule type="cellIs" dxfId="12" priority="2" operator="equal">
      <formula>"TRUE"</formula>
    </cfRule>
  </conditionalFormatting>
  <conditionalFormatting sqref="U2:U1598">
    <cfRule type="cellIs" dxfId="13" priority="3" operator="equal">
      <formula>"FALSE"</formula>
    </cfRule>
  </conditionalFormatting>
  <conditionalFormatting sqref="C1:C1598">
    <cfRule type="expression" dxfId="2" priority="4">
      <formula>C1=$L$1</formula>
    </cfRule>
  </conditionalFormatting>
  <conditionalFormatting sqref="C1:C1598">
    <cfRule type="expression" dxfId="3" priority="5">
      <formula>C1=$M$1</formula>
    </cfRule>
  </conditionalFormatting>
  <conditionalFormatting sqref="C1:C1598">
    <cfRule type="expression" dxfId="4" priority="6">
      <formula>C1=$N$1</formula>
    </cfRule>
  </conditionalFormatting>
  <conditionalFormatting sqref="C1:C1598">
    <cfRule type="expression" dxfId="5" priority="7">
      <formula>C1=$O$1</formula>
    </cfRule>
  </conditionalFormatting>
  <conditionalFormatting sqref="D1:J1598">
    <cfRule type="expression" dxfId="1" priority="8">
      <formula>$E1=$K$1</formula>
    </cfRule>
  </conditionalFormatting>
  <conditionalFormatting sqref="D1:J1598">
    <cfRule type="expression" dxfId="2" priority="9">
      <formula>$E1=$L$1</formula>
    </cfRule>
  </conditionalFormatting>
  <conditionalFormatting sqref="D1:J1598">
    <cfRule type="expression" dxfId="3" priority="10">
      <formula>$E1=$M$1</formula>
    </cfRule>
  </conditionalFormatting>
  <conditionalFormatting sqref="D1:J1598">
    <cfRule type="expression" dxfId="4" priority="11">
      <formula>$E1=$N$1</formula>
    </cfRule>
  </conditionalFormatting>
  <conditionalFormatting sqref="D1:J1598">
    <cfRule type="expression" dxfId="5" priority="12">
      <formula>$E1=$O$1</formula>
    </cfRule>
  </conditionalFormatting>
  <conditionalFormatting sqref="D1:J1598">
    <cfRule type="expression" dxfId="6" priority="13">
      <formula>$E1=$P$1</formula>
    </cfRule>
  </conditionalFormatting>
  <conditionalFormatting sqref="D1:J1598">
    <cfRule type="expression" dxfId="7" priority="14">
      <formula>$E1=$R$1</formula>
    </cfRule>
  </conditionalFormatting>
  <conditionalFormatting sqref="C1:C1598">
    <cfRule type="expression" dxfId="6" priority="15">
      <formula>$C1=$P$1</formula>
    </cfRule>
  </conditionalFormatting>
  <conditionalFormatting sqref="C1:C1598">
    <cfRule type="expression" dxfId="7" priority="16">
      <formula>$C1=$R$1</formula>
    </cfRule>
  </conditionalFormatting>
  <conditionalFormatting sqref="K1:T1598">
    <cfRule type="colorScale" priority="17">
      <colorScale>
        <cfvo type="min"/>
        <cfvo type="formula" val="3.5"/>
        <cfvo type="formula" val="7"/>
        <color rgb="FF63BE7B"/>
        <color rgb="FFFFEB84"/>
        <color rgb="FFF8696B"/>
      </colorScale>
    </cfRule>
  </conditionalFormatting>
  <conditionalFormatting sqref="Q1 K335:O1598 P335:P785 Q335:S1598 P787:P1598">
    <cfRule type="colorScale" priority="18">
      <colorScale>
        <cfvo type="min"/>
        <cfvo type="formula" val="3.5"/>
        <cfvo type="formula" val="6"/>
        <color rgb="FF57BB8A"/>
        <color rgb="FFFFD666"/>
        <color rgb="FFF8696B"/>
      </colorScale>
    </cfRule>
  </conditionalFormatting>
  <conditionalFormatting sqref="Q1 K335:O1598 P335:P785 Q335:S1598 P787:P1598">
    <cfRule type="colorScale" priority="19">
      <colorScale>
        <cfvo type="min"/>
        <cfvo type="formula" val="3.5"/>
        <cfvo type="formula" val="7"/>
        <color rgb="FF57BB8A"/>
        <color rgb="FFFFD666"/>
        <color rgb="FFE67C73"/>
      </colorScale>
    </cfRule>
  </conditionalFormatting>
  <conditionalFormatting sqref="I441">
    <cfRule type="notContainsBlanks" dxfId="9" priority="20">
      <formula>LEN(TRIM(I441))&gt;0</formula>
    </cfRule>
  </conditionalFormatting>
  <conditionalFormatting sqref="D1:J1598">
    <cfRule type="expression" dxfId="9" priority="21">
      <formula>$E1=$Q$1</formula>
    </cfRule>
  </conditionalFormatting>
  <conditionalFormatting sqref="C1:C1598">
    <cfRule type="expression" dxfId="9" priority="22">
      <formula>$C1=$Q$1</formula>
    </cfRule>
  </conditionalFormatting>
  <hyperlinks>
    <hyperlink r:id="rId2" ref="X782"/>
    <hyperlink r:id="rId3" ref="Y782"/>
    <hyperlink r:id="rId4" ref="X783"/>
    <hyperlink r:id="rId5" ref="Y783"/>
    <hyperlink r:id="rId6" ref="X786"/>
    <hyperlink r:id="rId7" ref="Y786"/>
    <hyperlink r:id="rId8" ref="X787"/>
    <hyperlink r:id="rId9" ref="Y787"/>
    <hyperlink r:id="rId10" ref="X788"/>
    <hyperlink r:id="rId11" ref="Y788"/>
    <hyperlink r:id="rId12" ref="Y790"/>
    <hyperlink r:id="rId13" ref="Y791"/>
  </hyperlinks>
  <printOptions/>
  <pageMargins bottom="0.75" footer="0.0" header="0.0" left="0.7" right="0.7" top="0.75"/>
  <pageSetup orientation="landscape"/>
  <drawing r:id="rId14"/>
  <legacy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8.71"/>
    <col customWidth="1" min="2" max="2" width="16.43"/>
    <col customWidth="1" min="3" max="3" width="15.14"/>
    <col customWidth="1" min="4" max="5" width="14.43"/>
    <col customWidth="1" min="6" max="6" width="9.71"/>
    <col customWidth="1" min="7" max="7" width="12.29"/>
    <col customWidth="1" min="8" max="8" width="11.71"/>
    <col customWidth="1" min="9" max="9" width="12.14"/>
    <col customWidth="1" min="10" max="10" width="12.57"/>
    <col customWidth="1" min="11" max="11" width="14.29"/>
    <col customWidth="1" min="12" max="12" width="8.14"/>
    <col customWidth="1" min="13" max="13" width="8.0"/>
    <col customWidth="1" min="14" max="14" width="6.57"/>
    <col customWidth="1" min="15" max="15" width="9.71"/>
    <col customWidth="1" min="16" max="16" width="54.14"/>
    <col customWidth="1" min="17" max="17" width="41.71"/>
    <col customWidth="1" min="18" max="18" width="14.14"/>
    <col customWidth="1" min="19" max="19" width="11.86"/>
    <col customWidth="1" min="20" max="20" width="6.57"/>
    <col customWidth="1" min="21" max="21" width="8.0"/>
    <col customWidth="1" min="22" max="22" width="6.57"/>
    <col customWidth="1" min="23" max="23" width="9.71"/>
    <col customWidth="1" min="24" max="24" width="19.43"/>
    <col customWidth="1" min="25" max="25" width="26.14"/>
    <col customWidth="1" min="26" max="26" width="16.43"/>
    <col customWidth="1" min="27" max="27" width="11.86"/>
    <col customWidth="1" min="28" max="28" width="6.57"/>
    <col customWidth="1" min="29" max="29" width="8.0"/>
    <col customWidth="1" min="30" max="30" width="6.57"/>
    <col customWidth="1" min="31" max="31" width="9.71"/>
    <col customWidth="1" min="32" max="32" width="9.43"/>
    <col customWidth="1" min="33" max="33" width="10.57"/>
  </cols>
  <sheetData>
    <row r="1">
      <c r="I1" s="1"/>
      <c r="J1" s="1"/>
      <c r="K1" s="3"/>
      <c r="L1" s="3"/>
      <c r="M1" s="4"/>
      <c r="Q1" s="1"/>
      <c r="R1" s="3"/>
      <c r="S1" s="3"/>
      <c r="T1" s="3"/>
      <c r="U1" s="3"/>
      <c r="V1" s="3"/>
    </row>
    <row r="2" ht="14.25" customHeight="1">
      <c r="B2" s="8" t="str">
        <f>CONCAT("Day ",COUNTIF(Rankings!A:A,"&lt;="&amp;TODAY()))</f>
        <v>Day 165</v>
      </c>
      <c r="C2" s="10" t="s">
        <v>2</v>
      </c>
      <c r="D2" s="10" t="s">
        <v>4</v>
      </c>
      <c r="E2" s="10" t="s">
        <v>5</v>
      </c>
      <c r="F2" s="8" t="s">
        <v>6</v>
      </c>
      <c r="G2" s="13" t="s">
        <v>7</v>
      </c>
      <c r="I2" s="1"/>
      <c r="J2" s="1"/>
      <c r="K2" s="3"/>
      <c r="L2" s="15"/>
      <c r="M2" s="17"/>
      <c r="Q2" s="15"/>
      <c r="R2" s="15"/>
      <c r="S2" s="3"/>
      <c r="T2" s="3"/>
      <c r="U2" s="3"/>
      <c r="V2" s="3"/>
    </row>
    <row r="3" ht="14.25" customHeight="1">
      <c r="B3" s="23" t="str">
        <f>Rankings!$K$1</f>
        <v>Logan</v>
      </c>
      <c r="C3" s="30">
        <f>COUNTIFS(Rankings!$E$2:$E$987,$B3, Rankings!$U$2:$U$987,TRUE())</f>
        <v>15</v>
      </c>
      <c r="D3" s="42">
        <f t="array" ref="D3">SUM(IF(Rankings!$E$2:$E$987=$B3, Rankings!$F$2:$F$987))</f>
        <v>557.7333333</v>
      </c>
      <c r="E3" s="47">
        <f t="array" ref="E3">AVERAGE(IF(Rankings!$E$2:$E$987=$B3, Rankings!$F$2:$F$987))</f>
        <v>3.9002331</v>
      </c>
      <c r="F3" s="55">
        <f t="shared" ref="F3:F10" si="1">_xlfn.RANK.EQ(C3,$C$3:$C$10,0)</f>
        <v>5</v>
      </c>
      <c r="G3" s="59">
        <f t="shared" ref="G3:G10" si="2">_xlfn.RANK.EQ(E3,$E$3:$E$10,1)</f>
        <v>6</v>
      </c>
      <c r="I3" s="1"/>
      <c r="J3" s="1"/>
      <c r="K3" s="15"/>
      <c r="L3" s="3"/>
      <c r="M3" s="4"/>
      <c r="Q3" s="1"/>
      <c r="R3" s="3"/>
      <c r="S3" s="3"/>
      <c r="T3" s="3"/>
      <c r="U3" s="3"/>
      <c r="V3" s="3"/>
    </row>
    <row r="4" ht="14.25" customHeight="1">
      <c r="B4" s="65" t="str">
        <f>Rankings!$L$1</f>
        <v>Parker</v>
      </c>
      <c r="C4" s="71">
        <f>COUNTIFS(Rankings!$E$2:$E$987,$B4, Rankings!$U$2:$U$987,TRUE())</f>
        <v>22</v>
      </c>
      <c r="D4" s="74">
        <f t="array" ref="D4">SUM(IF(Rankings!$E$2:$E$987=$B4, Rankings!$F$2:$F$987))</f>
        <v>517.8666667</v>
      </c>
      <c r="E4" s="78">
        <f t="array" ref="E4">AVERAGE(IF(Rankings!$E$2:$E$987=$B4, Rankings!$F$2:$F$987))</f>
        <v>3.621445221</v>
      </c>
      <c r="F4" s="81">
        <f t="shared" si="1"/>
        <v>3</v>
      </c>
      <c r="G4" s="86">
        <f t="shared" si="2"/>
        <v>2</v>
      </c>
      <c r="I4" s="1"/>
      <c r="J4" s="1"/>
      <c r="K4" s="15"/>
      <c r="L4" s="3"/>
      <c r="M4" s="4"/>
      <c r="Q4" s="1"/>
      <c r="R4" s="3"/>
      <c r="S4" s="3"/>
      <c r="T4" s="3"/>
      <c r="U4" s="3"/>
      <c r="V4" s="3"/>
    </row>
    <row r="5" ht="14.25" customHeight="1">
      <c r="B5" s="92" t="str">
        <f>Rankings!$M$1</f>
        <v>Giacomo</v>
      </c>
      <c r="C5" s="100">
        <f>COUNTIFS(Rankings!$E$2:$E$987,$B5, Rankings!$U$2:$U$987,TRUE())</f>
        <v>20</v>
      </c>
      <c r="D5" s="107">
        <f t="array" ref="D5">SUM(IF(Rankings!$E$2:$E$987=$B5, Rankings!$F$2:$F$987))</f>
        <v>518.9</v>
      </c>
      <c r="E5" s="109">
        <f t="array" ref="E5">AVERAGE(IF(Rankings!$E$2:$E$987=$B5, Rankings!$F$2:$F$987))</f>
        <v>3.628671329</v>
      </c>
      <c r="F5" s="110">
        <f t="shared" si="1"/>
        <v>4</v>
      </c>
      <c r="G5" s="112">
        <f t="shared" si="2"/>
        <v>3</v>
      </c>
      <c r="I5" s="1"/>
      <c r="J5" s="1"/>
      <c r="K5" s="15"/>
      <c r="L5" s="3"/>
      <c r="M5" s="4"/>
      <c r="Q5" s="1"/>
      <c r="R5" s="3"/>
      <c r="S5" s="3"/>
      <c r="T5" s="3"/>
      <c r="U5" s="3"/>
      <c r="V5" s="3"/>
    </row>
    <row r="6" ht="14.25" customHeight="1">
      <c r="B6" s="116" t="str">
        <f>Rankings!$N$1</f>
        <v>Rosey</v>
      </c>
      <c r="C6" s="118">
        <f>COUNTIFS(Rankings!$E$2:$E$987,$B6, Rankings!$U$2:$U$987,TRUE())</f>
        <v>26</v>
      </c>
      <c r="D6" s="124">
        <f t="array" ref="D6">SUM(IF(Rankings!$E$2:$E$987=$B6, Rankings!$F$2:$F$987))</f>
        <v>378.7857143</v>
      </c>
      <c r="E6" s="129">
        <f t="array" ref="E6">AVERAGE(IF(Rankings!$E$2:$E$987=$B6, Rankings!$F$2:$F$987))</f>
        <v>3.64217033</v>
      </c>
      <c r="F6" s="132">
        <f t="shared" si="1"/>
        <v>2</v>
      </c>
      <c r="G6" s="135">
        <f t="shared" si="2"/>
        <v>5</v>
      </c>
      <c r="I6" s="1"/>
      <c r="J6" s="1"/>
      <c r="K6" s="15"/>
      <c r="L6" s="3"/>
      <c r="M6" s="4"/>
      <c r="Q6" s="1"/>
      <c r="R6" s="3"/>
      <c r="S6" s="3"/>
      <c r="T6" s="3"/>
      <c r="U6" s="3"/>
      <c r="V6" s="3"/>
    </row>
    <row r="7" ht="14.25" customHeight="1">
      <c r="B7" s="137" t="str">
        <f>Rankings!$O$1</f>
        <v>TTAC</v>
      </c>
      <c r="C7" s="139">
        <f>COUNTIFS(Rankings!$E$2:$E$987,$B7, Rankings!$U$2:$U$987,TRUE())</f>
        <v>12</v>
      </c>
      <c r="D7" s="145">
        <f t="array" ref="D7">SUM(IF(Rankings!$E$2:$E$987=$B7, Rankings!$F$2:$F$987))</f>
        <v>632.4047619</v>
      </c>
      <c r="E7" s="146">
        <f t="array" ref="E7">AVERAGE(IF(Rankings!$E$2:$E$987=$B7, Rankings!$F$2:$F$987))</f>
        <v>4.453554661</v>
      </c>
      <c r="F7" s="148">
        <f t="shared" si="1"/>
        <v>7</v>
      </c>
      <c r="G7" s="150">
        <f t="shared" si="2"/>
        <v>8</v>
      </c>
      <c r="I7" s="1"/>
      <c r="J7" s="1"/>
      <c r="K7" s="15"/>
      <c r="L7" s="3"/>
      <c r="M7" s="4"/>
      <c r="Q7" s="1"/>
      <c r="R7" s="3"/>
      <c r="S7" s="3"/>
      <c r="T7" s="3"/>
      <c r="U7" s="3"/>
      <c r="V7" s="3"/>
    </row>
    <row r="8">
      <c r="B8" s="157" t="str">
        <f>Rankings!$P$1</f>
        <v>Weston</v>
      </c>
      <c r="C8" s="160">
        <f>COUNTIFS(Rankings!$E$2:$E$987,$B8, Rankings!$U$2:$U$987,TRUE())</f>
        <v>30</v>
      </c>
      <c r="D8" s="163">
        <f t="array" ref="D8">SUM(IF(Rankings!$E$2:$E$987=$B8, Rankings!$F$2:$F$987))</f>
        <v>512.047619</v>
      </c>
      <c r="E8" s="168">
        <f t="array" ref="E8">AVERAGE(IF(Rankings!$E$2:$E$987=$B8, Rankings!$F$2:$F$987))</f>
        <v>3.605969148</v>
      </c>
      <c r="F8" s="171">
        <f t="shared" si="1"/>
        <v>1</v>
      </c>
      <c r="G8" s="172">
        <f t="shared" si="2"/>
        <v>1</v>
      </c>
      <c r="I8" s="1"/>
      <c r="J8" s="1"/>
      <c r="K8" s="15"/>
      <c r="L8" s="3"/>
      <c r="M8" s="4"/>
      <c r="Q8" s="1"/>
      <c r="R8" s="3"/>
      <c r="S8" s="3"/>
      <c r="T8" s="4"/>
      <c r="U8" s="173"/>
      <c r="V8" s="173"/>
      <c r="Y8" s="174"/>
      <c r="AA8" s="3"/>
      <c r="AB8" s="4"/>
    </row>
    <row r="9">
      <c r="B9" s="178" t="str">
        <f>Rankings!$R$1</f>
        <v>Jake</v>
      </c>
      <c r="C9" s="179">
        <f>COUNTIFS(Rankings!$E$2:$E$987,$B9, Rankings!$U$2:$U$987,TRUE())</f>
        <v>2</v>
      </c>
      <c r="D9" s="181">
        <f t="array" ref="D9">SUM(IF(Rankings!$E$2:$E$987=$B9, Rankings!$F$2:$F$987))</f>
        <v>209.0238095</v>
      </c>
      <c r="E9" s="183">
        <f t="array" ref="E9">AVERAGE(IF(Rankings!$E$2:$E$987=$B9, Rankings!$F$2:$F$987))</f>
        <v>4.265792031</v>
      </c>
      <c r="F9" s="184">
        <f t="shared" si="1"/>
        <v>8</v>
      </c>
      <c r="G9" s="185">
        <f t="shared" si="2"/>
        <v>7</v>
      </c>
      <c r="I9" s="1"/>
      <c r="J9" s="1"/>
      <c r="K9" s="15"/>
      <c r="L9" s="3"/>
      <c r="M9" s="4"/>
      <c r="Q9" s="1"/>
      <c r="R9" s="3"/>
      <c r="S9" s="3"/>
      <c r="T9" s="4"/>
      <c r="U9" s="173"/>
      <c r="V9" s="173"/>
      <c r="Y9" s="174"/>
      <c r="AA9" s="3"/>
      <c r="AB9" s="4"/>
    </row>
    <row r="10">
      <c r="B10" s="186" t="str">
        <f>Rankings!$Q$1</f>
        <v>Flocco</v>
      </c>
      <c r="C10" s="187">
        <f>COUNTIFS(Rankings!$E$2:$E$987,$B10, Rankings!$U$2:$U$987,TRUE())</f>
        <v>15</v>
      </c>
      <c r="D10" s="188">
        <f t="array" ref="D10">SUM(IF(Rankings!$E$2:$E$987=$B10, Rankings!$F$2:$F$987))</f>
        <v>272.1904762</v>
      </c>
      <c r="E10" s="192">
        <f t="array" ref="E10">AVERAGE(IF(Rankings!$E$2:$E$987=$B10, Rankings!$F$2:$F$987))</f>
        <v>3.629206349</v>
      </c>
      <c r="F10" s="194">
        <f t="shared" si="1"/>
        <v>5</v>
      </c>
      <c r="G10" s="195">
        <f t="shared" si="2"/>
        <v>4</v>
      </c>
      <c r="I10" s="1"/>
      <c r="J10" s="1"/>
      <c r="K10" s="15"/>
      <c r="L10" s="3"/>
      <c r="M10" s="4"/>
      <c r="Q10" s="1"/>
      <c r="R10" s="3"/>
      <c r="S10" s="3"/>
      <c r="T10" s="4"/>
      <c r="U10" s="173"/>
      <c r="V10" s="173"/>
      <c r="Y10" s="174"/>
      <c r="AA10" s="3"/>
      <c r="AB10" s="4"/>
    </row>
    <row r="11">
      <c r="B11" s="1"/>
      <c r="C11" s="3"/>
      <c r="D11" s="3"/>
      <c r="E11" s="4"/>
      <c r="I11" s="1"/>
      <c r="J11" s="1"/>
      <c r="K11" s="3"/>
      <c r="L11" s="3"/>
      <c r="M11" s="4"/>
      <c r="Q11" s="1"/>
      <c r="R11" s="3"/>
      <c r="S11" s="3"/>
      <c r="T11" s="4"/>
      <c r="U11" s="173"/>
      <c r="V11" s="173"/>
      <c r="Y11" s="174"/>
      <c r="AA11" s="3"/>
      <c r="AB11" s="4"/>
      <c r="AD11" s="198"/>
    </row>
    <row r="12">
      <c r="B12" s="200" t="s">
        <v>167</v>
      </c>
      <c r="C12" s="9"/>
      <c r="D12" s="9"/>
      <c r="E12" s="9"/>
      <c r="F12" s="9"/>
      <c r="G12" s="9"/>
      <c r="H12" s="9"/>
      <c r="I12" s="9"/>
      <c r="J12" s="11"/>
      <c r="K12" s="3"/>
      <c r="L12" s="3"/>
      <c r="M12" s="4"/>
      <c r="Q12" s="1"/>
      <c r="R12" s="3"/>
      <c r="S12" s="3"/>
      <c r="T12" s="4"/>
      <c r="U12" s="173"/>
      <c r="V12" s="173"/>
      <c r="Y12" s="174"/>
      <c r="AA12" s="3"/>
      <c r="AB12" s="4"/>
    </row>
    <row r="13">
      <c r="B13" s="202" t="s">
        <v>170</v>
      </c>
      <c r="C13" s="23" t="str">
        <f>Rankings!$K$1</f>
        <v>Logan</v>
      </c>
      <c r="D13" s="65" t="str">
        <f>Rankings!$L$1</f>
        <v>Parker</v>
      </c>
      <c r="E13" s="92" t="str">
        <f>Rankings!$M$1</f>
        <v>Giacomo</v>
      </c>
      <c r="F13" s="116" t="str">
        <f>Rankings!$N$1</f>
        <v>Rosey</v>
      </c>
      <c r="G13" s="137" t="str">
        <f>Rankings!$O$1</f>
        <v>TTAC</v>
      </c>
      <c r="H13" s="157" t="str">
        <f>Rankings!$P$1</f>
        <v>Weston</v>
      </c>
      <c r="I13" s="178" t="str">
        <f>Rankings!$R$1</f>
        <v>Jake</v>
      </c>
      <c r="J13" s="204" t="str">
        <f>Rankings!$Q$1</f>
        <v>Flocco</v>
      </c>
      <c r="K13" s="3"/>
      <c r="L13" s="3"/>
      <c r="M13" s="4"/>
      <c r="Q13" s="1"/>
      <c r="R13" s="3"/>
      <c r="S13" s="3"/>
      <c r="T13" s="4"/>
      <c r="U13" s="173"/>
      <c r="V13" s="173"/>
      <c r="Y13" s="174"/>
      <c r="AA13" s="3"/>
      <c r="AB13" s="4"/>
    </row>
    <row r="14">
      <c r="B14" s="209" t="str">
        <f>Rankings!$K$1</f>
        <v>Logan</v>
      </c>
      <c r="C14" s="4">
        <f>AVERAGEIF(Rankings!$E:$E, $B14, Rankings!K:K)</f>
        <v>2.195121951</v>
      </c>
      <c r="D14" s="4">
        <f>AVERAGEIF(Rankings!$E:$E, $B14, Rankings!L:L)</f>
        <v>4.037037037</v>
      </c>
      <c r="E14" s="4">
        <f>AVERAGEIF(Rankings!$E:$E, $B14, Rankings!M:M)</f>
        <v>4.423312883</v>
      </c>
      <c r="F14" s="4">
        <f>AVERAGEIF(Rankings!$E:$E, $B14, Rankings!N:N)</f>
        <v>3.838383838</v>
      </c>
      <c r="G14" s="4">
        <f>AVERAGEIF(Rankings!$E:$E, $B14, Rankings!O:O)</f>
        <v>4.402439024</v>
      </c>
      <c r="H14" s="4">
        <f>AVERAGEIF(Rankings!$E:$E, $B14, Rankings!P:P)</f>
        <v>4.150943396</v>
      </c>
      <c r="I14" s="4">
        <f>AVERAGEIF(Rankings!$E:$E, $B14, Rankings!R:R)</f>
        <v>3.777777778</v>
      </c>
      <c r="J14" s="214">
        <f>AVERAGEIF(Rankings!$E:$E, $B14, Rankings!Q:Q)</f>
        <v>4.046511628</v>
      </c>
      <c r="K14" s="3"/>
      <c r="L14" s="3"/>
      <c r="M14" s="4"/>
      <c r="Q14" s="1"/>
      <c r="R14" s="3"/>
      <c r="S14" s="3"/>
      <c r="T14" s="4"/>
      <c r="U14" s="173"/>
      <c r="V14" s="173"/>
      <c r="Y14" s="174"/>
      <c r="AA14" s="3"/>
      <c r="AB14" s="4"/>
    </row>
    <row r="15">
      <c r="B15" s="215" t="str">
        <f>Rankings!$L$1</f>
        <v>Parker</v>
      </c>
      <c r="C15" s="4">
        <f>AVERAGEIF(Rankings!$E:$E, $B15, Rankings!K:K)</f>
        <v>3.774390244</v>
      </c>
      <c r="D15" s="4">
        <f>AVERAGEIF(Rankings!$E:$E, $B15, Rankings!L:L)</f>
        <v>2.116564417</v>
      </c>
      <c r="E15" s="4">
        <f>AVERAGEIF(Rankings!$E:$E, $B15, Rankings!M:M)</f>
        <v>3.263803681</v>
      </c>
      <c r="F15" s="4">
        <f>AVERAGEIF(Rankings!$E:$E, $B15, Rankings!N:N)</f>
        <v>4.121212121</v>
      </c>
      <c r="G15" s="4">
        <f>AVERAGEIF(Rankings!$E:$E, $B15, Rankings!O:O)</f>
        <v>3.792682927</v>
      </c>
      <c r="H15" s="4">
        <f>AVERAGEIF(Rankings!$E:$E, $B15, Rankings!P:P)</f>
        <v>3.836477987</v>
      </c>
      <c r="I15" s="4">
        <f>AVERAGEIF(Rankings!$E:$E, $B15, Rankings!R:R)</f>
        <v>4.377777778</v>
      </c>
      <c r="J15" s="214">
        <f>AVERAGEIF(Rankings!$E:$E, $B15, Rankings!Q:Q)</f>
        <v>4.290697674</v>
      </c>
      <c r="K15" s="3"/>
      <c r="L15" s="3"/>
      <c r="M15" s="4"/>
      <c r="Q15" s="1"/>
      <c r="R15" s="3"/>
      <c r="S15" s="3"/>
      <c r="T15" s="4"/>
      <c r="U15" s="173"/>
      <c r="V15" s="173"/>
      <c r="Y15" s="174"/>
      <c r="AA15" s="3"/>
      <c r="AB15" s="4"/>
    </row>
    <row r="16">
      <c r="B16" s="218" t="str">
        <f>Rankings!$M$1</f>
        <v>Giacomo</v>
      </c>
      <c r="C16" s="4">
        <f>AVERAGEIF(Rankings!$E:$E, $B16, Rankings!K:K)</f>
        <v>3.890243902</v>
      </c>
      <c r="D16" s="4">
        <f>AVERAGEIF(Rankings!$E:$E, $B16, Rankings!L:L)</f>
        <v>3.185185185</v>
      </c>
      <c r="E16" s="4">
        <f>AVERAGEIF(Rankings!$E:$E, $B16, Rankings!M:M)</f>
        <v>1.754601227</v>
      </c>
      <c r="F16" s="4">
        <f>AVERAGEIF(Rankings!$E:$E, $B16, Rankings!N:N)</f>
        <v>4.181818182</v>
      </c>
      <c r="G16" s="4">
        <f>AVERAGEIF(Rankings!$E:$E, $B16, Rankings!O:O)</f>
        <v>4.12195122</v>
      </c>
      <c r="H16" s="4">
        <f>AVERAGEIF(Rankings!$E:$E, $B16, Rankings!P:P)</f>
        <v>3.748427673</v>
      </c>
      <c r="I16" s="4">
        <f>AVERAGEIF(Rankings!$E:$E, $B16, Rankings!R:R)</f>
        <v>4.488888889</v>
      </c>
      <c r="J16" s="214">
        <f>AVERAGEIF(Rankings!$E:$E, $B16, Rankings!Q:Q)</f>
        <v>4.988372093</v>
      </c>
      <c r="K16" s="3"/>
      <c r="L16" s="3"/>
      <c r="M16" s="4"/>
      <c r="Q16" s="1"/>
      <c r="R16" s="3"/>
      <c r="S16" s="3"/>
      <c r="T16" s="4"/>
      <c r="U16" s="173"/>
      <c r="V16" s="173"/>
      <c r="Y16" s="174"/>
      <c r="AA16" s="3"/>
      <c r="AB16" s="4"/>
    </row>
    <row r="17">
      <c r="B17" s="224" t="str">
        <f>Rankings!$N$1</f>
        <v>Rosey</v>
      </c>
      <c r="C17" s="4">
        <f>AVERAGEIF(Rankings!$E:$E, $B17, Rankings!K:K)</f>
        <v>3.567307692</v>
      </c>
      <c r="D17" s="4">
        <f>AVERAGEIF(Rankings!$E:$E, $B17, Rankings!L:L)</f>
        <v>3.865384615</v>
      </c>
      <c r="E17" s="4">
        <f>AVERAGEIF(Rankings!$E:$E, $B17, Rankings!M:M)</f>
        <v>4.116504854</v>
      </c>
      <c r="F17" s="4">
        <f>AVERAGEIF(Rankings!$E:$E, $B17, Rankings!N:N)</f>
        <v>1.919191919</v>
      </c>
      <c r="G17" s="4">
        <f>AVERAGEIF(Rankings!$E:$E, $B17, Rankings!O:O)</f>
        <v>3.805825243</v>
      </c>
      <c r="H17" s="4">
        <f>AVERAGEIF(Rankings!$E:$E, $B17, Rankings!P:P)</f>
        <v>4.223300971</v>
      </c>
      <c r="I17" s="4">
        <f>AVERAGEIF(Rankings!$E:$E, $B17, Rankings!R:R)</f>
        <v>4</v>
      </c>
      <c r="J17" s="214">
        <f>AVERAGEIF(Rankings!$E:$E, $B17, Rankings!Q:Q)</f>
        <v>3.976744186</v>
      </c>
      <c r="K17" s="3"/>
      <c r="L17" s="3"/>
      <c r="M17" s="4"/>
      <c r="Q17" s="1"/>
      <c r="R17" s="3"/>
      <c r="S17" s="3"/>
      <c r="T17" s="4"/>
      <c r="U17" s="173"/>
      <c r="V17" s="173"/>
      <c r="Y17" s="174"/>
      <c r="AA17" s="3"/>
      <c r="AB17" s="4"/>
    </row>
    <row r="18">
      <c r="B18" s="228" t="str">
        <f>Rankings!$O$1</f>
        <v>TTAC</v>
      </c>
      <c r="C18" s="4">
        <f>AVERAGEIF(Rankings!$E:$E, $B18, Rankings!K:K)</f>
        <v>4.87195122</v>
      </c>
      <c r="D18" s="4">
        <f>AVERAGEIF(Rankings!$E:$E, $B18, Rankings!L:L)</f>
        <v>4.969135802</v>
      </c>
      <c r="E18" s="4">
        <f>AVERAGEIF(Rankings!$E:$E, $B18, Rankings!M:M)</f>
        <v>4.914110429</v>
      </c>
      <c r="F18" s="4">
        <f>AVERAGEIF(Rankings!$E:$E, $B18, Rankings!N:N)</f>
        <v>5.303030303</v>
      </c>
      <c r="G18" s="4">
        <f>AVERAGEIF(Rankings!$E:$E, $B18, Rankings!O:O)</f>
        <v>2.475609756</v>
      </c>
      <c r="H18" s="4">
        <f>AVERAGEIF(Rankings!$E:$E, $B18, Rankings!P:P)</f>
        <v>4.503144654</v>
      </c>
      <c r="I18" s="4">
        <f>AVERAGEIF(Rankings!$E:$E, $B18, Rankings!R:R)</f>
        <v>5.288888889</v>
      </c>
      <c r="J18" s="214">
        <f>AVERAGEIF(Rankings!$E:$E, $B18, Rankings!Q:Q)</f>
        <v>3.73255814</v>
      </c>
      <c r="K18" s="3"/>
      <c r="L18" s="3"/>
      <c r="M18" s="4"/>
      <c r="Q18" s="1"/>
      <c r="R18" s="3"/>
      <c r="S18" s="3"/>
      <c r="T18" s="4"/>
      <c r="U18" s="173"/>
      <c r="V18" s="173"/>
      <c r="Y18" s="174"/>
      <c r="AA18" s="3"/>
      <c r="AB18" s="4"/>
    </row>
    <row r="19">
      <c r="B19" s="229" t="str">
        <f>Rankings!$P$1</f>
        <v>Weston</v>
      </c>
      <c r="C19" s="4">
        <f>AVERAGEIF(Rankings!$E:$E, $B19, Rankings!K:K)</f>
        <v>3.87804878</v>
      </c>
      <c r="D19" s="4">
        <f>AVERAGEIF(Rankings!$E:$E, $B19, Rankings!L:L)</f>
        <v>3.975308642</v>
      </c>
      <c r="E19" s="4">
        <f>AVERAGEIF(Rankings!$E:$E, $B19, Rankings!M:M)</f>
        <v>3.668711656</v>
      </c>
      <c r="F19" s="4">
        <f>AVERAGEIF(Rankings!$E:$E, $B19, Rankings!N:N)</f>
        <v>3.949494949</v>
      </c>
      <c r="G19" s="4">
        <f>AVERAGEIF(Rankings!$E:$E, $B19, Rankings!O:O)</f>
        <v>4.158536585</v>
      </c>
      <c r="H19" s="4">
        <f>AVERAGEIF(Rankings!$E:$E, $B19, Rankings!P:P)</f>
        <v>2.044025157</v>
      </c>
      <c r="I19" s="4">
        <f>AVERAGEIF(Rankings!$E:$E, $B19, Rankings!R:R)</f>
        <v>3.488888889</v>
      </c>
      <c r="J19" s="214">
        <f>AVERAGEIF(Rankings!$E:$E, $B19, Rankings!Q:Q)</f>
        <v>3.697674419</v>
      </c>
      <c r="K19" s="3"/>
      <c r="L19" s="3"/>
      <c r="M19" s="4"/>
      <c r="Q19" s="1"/>
      <c r="R19" s="3"/>
      <c r="S19" s="3"/>
      <c r="T19" s="4"/>
      <c r="U19" s="173"/>
      <c r="V19" s="173"/>
      <c r="Y19" s="174"/>
      <c r="AA19" s="3"/>
      <c r="AB19" s="4"/>
    </row>
    <row r="20">
      <c r="B20" s="232" t="str">
        <f>Rankings!$R$1</f>
        <v>Jake</v>
      </c>
      <c r="C20" s="4">
        <f>AVERAGEIF(Rankings!$E:$E, $B20, Rankings!K:K)</f>
        <v>4.734693878</v>
      </c>
      <c r="D20" s="4">
        <f>AVERAGEIF(Rankings!$E:$E, $B20, Rankings!L:L)</f>
        <v>4.775510204</v>
      </c>
      <c r="E20" s="4">
        <f>AVERAGEIF(Rankings!$E:$E, $B20, Rankings!M:M)</f>
        <v>4.693877551</v>
      </c>
      <c r="F20" s="4">
        <f>AVERAGEIF(Rankings!$E:$E, $B20, Rankings!N:N)</f>
        <v>4.285714286</v>
      </c>
      <c r="G20" s="4">
        <f>AVERAGEIF(Rankings!$E:$E, $B20, Rankings!O:O)</f>
        <v>4.244897959</v>
      </c>
      <c r="H20" s="4">
        <f>AVERAGEIF(Rankings!$E:$E, $B20, Rankings!P:P)</f>
        <v>4.408163265</v>
      </c>
      <c r="I20" s="4">
        <f>AVERAGEIF(Rankings!$E:$E, $B20, Rankings!R:R)</f>
        <v>2.577777778</v>
      </c>
      <c r="J20" s="233" t="s">
        <v>257</v>
      </c>
      <c r="K20" s="3"/>
      <c r="L20" s="3"/>
      <c r="M20" s="4"/>
      <c r="Q20" s="1"/>
      <c r="R20" s="3"/>
      <c r="S20" s="3"/>
      <c r="T20" s="4"/>
      <c r="U20" s="173"/>
      <c r="V20" s="173"/>
      <c r="Y20" s="174"/>
      <c r="AA20" s="3"/>
      <c r="AB20" s="4"/>
    </row>
    <row r="21">
      <c r="B21" s="239" t="str">
        <f>Rankings!$Q$1</f>
        <v>Flocco</v>
      </c>
      <c r="C21" s="241">
        <f>AVERAGEIF(Rankings!$E:$E, $B21, Rankings!K:K)</f>
        <v>3.837209302</v>
      </c>
      <c r="D21" s="241">
        <f>AVERAGEIF(Rankings!$E:$E, $B21, Rankings!L:L)</f>
        <v>4.162790698</v>
      </c>
      <c r="E21" s="241">
        <f>AVERAGEIF(Rankings!$E:$E, $B21, Rankings!M:M)</f>
        <v>4.348837209</v>
      </c>
      <c r="F21" s="241">
        <f>AVERAGEIF(Rankings!$E:$E, $B21, Rankings!N:N)</f>
        <v>4.45</v>
      </c>
      <c r="G21" s="241">
        <f>AVERAGEIF(Rankings!$E:$E, $B21, Rankings!O:O)</f>
        <v>3.162790698</v>
      </c>
      <c r="H21" s="241">
        <f>AVERAGEIF(Rankings!$E:$E, $B21, Rankings!P:P)</f>
        <v>4.034883721</v>
      </c>
      <c r="I21" s="245" t="s">
        <v>257</v>
      </c>
      <c r="J21" s="246">
        <f>AVERAGEIF(Rankings!$E:$E, $B21, Rankings!Q:Q)</f>
        <v>1.682352941</v>
      </c>
      <c r="K21" s="3"/>
      <c r="L21" s="3"/>
      <c r="M21" s="4"/>
      <c r="Q21" s="1"/>
      <c r="R21" s="3"/>
      <c r="S21" s="3"/>
      <c r="T21" s="4"/>
      <c r="U21" s="173"/>
      <c r="V21" s="173"/>
      <c r="Y21" s="174"/>
      <c r="AA21" s="3"/>
      <c r="AB21" s="4"/>
    </row>
    <row r="22">
      <c r="B22" s="1"/>
      <c r="C22" s="3"/>
      <c r="D22" s="3"/>
      <c r="E22" s="4"/>
      <c r="I22" s="1"/>
      <c r="J22" s="1"/>
      <c r="K22" s="3"/>
      <c r="L22" s="3"/>
      <c r="M22" s="4"/>
      <c r="Q22" s="1"/>
      <c r="R22" s="3"/>
      <c r="S22" s="3"/>
      <c r="T22" s="4"/>
      <c r="U22" s="173"/>
      <c r="V22" s="173"/>
      <c r="Y22" s="174"/>
      <c r="AA22" s="3"/>
      <c r="AB22" s="4"/>
    </row>
    <row r="23" ht="15.75" customHeight="1">
      <c r="B23" s="200" t="s">
        <v>260</v>
      </c>
      <c r="C23" s="9"/>
      <c r="D23" s="9"/>
      <c r="E23" s="9"/>
      <c r="F23" s="9"/>
      <c r="G23" s="9"/>
      <c r="H23" s="9"/>
      <c r="I23" s="9"/>
      <c r="J23" s="11"/>
      <c r="K23" s="3"/>
      <c r="L23" s="3"/>
      <c r="M23" s="4"/>
      <c r="Q23" s="1"/>
      <c r="R23" s="3"/>
      <c r="S23" s="3"/>
      <c r="T23" s="4"/>
      <c r="U23" s="173"/>
      <c r="V23" s="173"/>
      <c r="Y23" s="174"/>
      <c r="AA23" s="3"/>
      <c r="AB23" s="4"/>
    </row>
    <row r="24" ht="15.75" customHeight="1">
      <c r="B24" s="202" t="s">
        <v>170</v>
      </c>
      <c r="C24" s="23" t="str">
        <f>Rankings!$K$1</f>
        <v>Logan</v>
      </c>
      <c r="D24" s="65" t="str">
        <f>Rankings!$L$1</f>
        <v>Parker</v>
      </c>
      <c r="E24" s="92" t="str">
        <f>Rankings!$M$1</f>
        <v>Giacomo</v>
      </c>
      <c r="F24" s="116" t="str">
        <f>Rankings!$N$1</f>
        <v>Rosey</v>
      </c>
      <c r="G24" s="137" t="str">
        <f>Rankings!$O$1</f>
        <v>TTAC</v>
      </c>
      <c r="H24" s="157" t="str">
        <f>Rankings!$P$1</f>
        <v>Weston</v>
      </c>
      <c r="I24" s="178" t="str">
        <f>Rankings!$R$1</f>
        <v>Jake</v>
      </c>
      <c r="J24" s="204" t="str">
        <f>Rankings!$Q$1</f>
        <v>Flocco</v>
      </c>
      <c r="K24" s="3"/>
      <c r="L24" s="3"/>
      <c r="M24" s="4"/>
      <c r="Q24" s="1"/>
      <c r="R24" s="3"/>
      <c r="S24" s="3"/>
      <c r="T24" s="4"/>
      <c r="U24" s="173"/>
      <c r="V24" s="173"/>
      <c r="Y24" s="174"/>
      <c r="AA24" s="3"/>
      <c r="AB24" s="4"/>
    </row>
    <row r="25" ht="15.75" customHeight="1">
      <c r="B25" s="209" t="str">
        <f>Rankings!$K$1</f>
        <v>Logan</v>
      </c>
      <c r="C25" s="4">
        <f>MINIFS(Rankings!K:K, Rankings!$E:$E, $B25)</f>
        <v>1</v>
      </c>
      <c r="D25" s="4">
        <f>MINIFS(Rankings!L:L, Rankings!$E:$E, $B25)</f>
        <v>1</v>
      </c>
      <c r="E25" s="4">
        <f>MINIFS(Rankings!M:M, Rankings!$E:$E, $B25)</f>
        <v>1</v>
      </c>
      <c r="F25" s="4">
        <f>MINIFS(Rankings!N:N, Rankings!$E:$E, $B25)</f>
        <v>1</v>
      </c>
      <c r="G25" s="4">
        <f>MINIFS(Rankings!O:O, Rankings!$E:$E, $B25)</f>
        <v>1</v>
      </c>
      <c r="H25" s="4">
        <f>MINIFS(Rankings!P:P, Rankings!$E:$E, $B25)</f>
        <v>1</v>
      </c>
      <c r="I25" s="4">
        <f>MINIFS(Rankings!R:R, Rankings!$E:$E, $B25)</f>
        <v>1</v>
      </c>
      <c r="J25" s="214">
        <f>MINIFS(Rankings!Q:Q, Rankings!$E:$E, $B25)</f>
        <v>1</v>
      </c>
      <c r="K25" s="3"/>
      <c r="L25" s="3"/>
      <c r="M25" s="4"/>
      <c r="Q25" s="1"/>
      <c r="R25" s="3"/>
      <c r="S25" s="3"/>
      <c r="T25" s="4"/>
      <c r="U25" s="173"/>
      <c r="V25" s="173"/>
      <c r="Y25" s="174"/>
      <c r="AA25" s="3"/>
      <c r="AB25" s="4"/>
    </row>
    <row r="26" ht="15.75" customHeight="1">
      <c r="B26" s="215" t="str">
        <f>Rankings!$L$1</f>
        <v>Parker</v>
      </c>
      <c r="C26" s="4">
        <f>MINIFS(Rankings!K:K, Rankings!$E:$E, $B26)</f>
        <v>1</v>
      </c>
      <c r="D26" s="4">
        <f>MINIFS(Rankings!L:L, Rankings!$E:$E, $B26)</f>
        <v>1</v>
      </c>
      <c r="E26" s="4">
        <f>MINIFS(Rankings!M:M, Rankings!$E:$E, $B26)</f>
        <v>1</v>
      </c>
      <c r="F26" s="4">
        <f>MINIFS(Rankings!N:N, Rankings!$E:$E, $B26)</f>
        <v>1</v>
      </c>
      <c r="G26" s="4">
        <f>MINIFS(Rankings!O:O, Rankings!$E:$E, $B26)</f>
        <v>1</v>
      </c>
      <c r="H26" s="4">
        <f>MINIFS(Rankings!P:P, Rankings!$E:$E, $B26)</f>
        <v>1</v>
      </c>
      <c r="I26" s="4">
        <f>MINIFS(Rankings!R:R, Rankings!$E:$E, $B26)</f>
        <v>1</v>
      </c>
      <c r="J26" s="214">
        <f>MINIFS(Rankings!Q:Q, Rankings!$E:$E, $B26)</f>
        <v>1</v>
      </c>
      <c r="K26" s="3"/>
      <c r="L26" s="3"/>
      <c r="M26" s="4"/>
      <c r="Q26" s="1"/>
      <c r="R26" s="3"/>
      <c r="S26" s="3"/>
      <c r="T26" s="4"/>
      <c r="U26" s="173"/>
      <c r="V26" s="173"/>
      <c r="Y26" s="174"/>
      <c r="AA26" s="3"/>
      <c r="AB26" s="4"/>
    </row>
    <row r="27" ht="15.75" customHeight="1">
      <c r="B27" s="218" t="str">
        <f>Rankings!$M$1</f>
        <v>Giacomo</v>
      </c>
      <c r="C27" s="4">
        <f>MINIFS(Rankings!K:K, Rankings!$E:$E, $B27)</f>
        <v>1</v>
      </c>
      <c r="D27" s="4">
        <f>MINIFS(Rankings!L:L, Rankings!$E:$E, $B27)</f>
        <v>1</v>
      </c>
      <c r="E27" s="4">
        <f>MINIFS(Rankings!M:M, Rankings!$E:$E, $B27)</f>
        <v>1</v>
      </c>
      <c r="F27" s="4">
        <f>MINIFS(Rankings!N:N, Rankings!$E:$E, $B27)</f>
        <v>1</v>
      </c>
      <c r="G27" s="4">
        <f>MINIFS(Rankings!O:O, Rankings!$E:$E, $B27)</f>
        <v>1</v>
      </c>
      <c r="H27" s="4">
        <f>MINIFS(Rankings!P:P, Rankings!$E:$E, $B27)</f>
        <v>1</v>
      </c>
      <c r="I27" s="4">
        <f>MINIFS(Rankings!R:R, Rankings!$E:$E, $B27)</f>
        <v>1</v>
      </c>
      <c r="J27" s="214">
        <f>MINIFS(Rankings!Q:Q, Rankings!$E:$E, $B27)</f>
        <v>1</v>
      </c>
      <c r="K27" s="3"/>
      <c r="L27" s="3"/>
      <c r="M27" s="4"/>
      <c r="Q27" s="1"/>
      <c r="R27" s="3"/>
      <c r="S27" s="3"/>
      <c r="T27" s="4"/>
      <c r="U27" s="173"/>
      <c r="V27" s="173"/>
      <c r="Y27" s="174"/>
      <c r="AA27" s="3"/>
      <c r="AB27" s="4"/>
    </row>
    <row r="28" ht="15.75" customHeight="1">
      <c r="B28" s="224" t="str">
        <f>Rankings!$N$1</f>
        <v>Rosey</v>
      </c>
      <c r="C28" s="4">
        <f>MINIFS(Rankings!K:K, Rankings!$E:$E, $B28)</f>
        <v>1</v>
      </c>
      <c r="D28" s="4">
        <f>MINIFS(Rankings!L:L, Rankings!$E:$E, $B28)</f>
        <v>1</v>
      </c>
      <c r="E28" s="4">
        <f>MINIFS(Rankings!M:M, Rankings!$E:$E, $B28)</f>
        <v>1</v>
      </c>
      <c r="F28" s="4">
        <f>MINIFS(Rankings!N:N, Rankings!$E:$E, $B28)</f>
        <v>1</v>
      </c>
      <c r="G28" s="4">
        <f>MINIFS(Rankings!O:O, Rankings!$E:$E, $B28)</f>
        <v>1</v>
      </c>
      <c r="H28" s="4">
        <f>MINIFS(Rankings!P:P, Rankings!$E:$E, $B28)</f>
        <v>1</v>
      </c>
      <c r="I28" s="4">
        <f>MINIFS(Rankings!R:R, Rankings!$E:$E, $B28)</f>
        <v>1</v>
      </c>
      <c r="J28" s="214">
        <f>MINIFS(Rankings!Q:Q, Rankings!$E:$E, $B28)</f>
        <v>1</v>
      </c>
      <c r="K28" s="3"/>
      <c r="L28" s="3"/>
      <c r="M28" s="4"/>
      <c r="Q28" s="1"/>
      <c r="R28" s="3"/>
      <c r="S28" s="3"/>
      <c r="T28" s="4"/>
      <c r="U28" s="173"/>
      <c r="V28" s="173"/>
      <c r="Y28" s="174"/>
      <c r="AA28" s="3"/>
      <c r="AB28" s="4"/>
    </row>
    <row r="29" ht="15.75" customHeight="1">
      <c r="B29" s="228" t="str">
        <f>Rankings!$O$1</f>
        <v>TTAC</v>
      </c>
      <c r="C29" s="4">
        <f>MINIFS(Rankings!K:K, Rankings!$E:$E, $B29)</f>
        <v>1</v>
      </c>
      <c r="D29" s="4">
        <f>MINIFS(Rankings!L:L, Rankings!$E:$E, $B29)</f>
        <v>1</v>
      </c>
      <c r="E29" s="4">
        <f>MINIFS(Rankings!M:M, Rankings!$E:$E, $B29)</f>
        <v>1</v>
      </c>
      <c r="F29" s="4">
        <f>MINIFS(Rankings!N:N, Rankings!$E:$E, $B29)</f>
        <v>1</v>
      </c>
      <c r="G29" s="4">
        <f>MINIFS(Rankings!O:O, Rankings!$E:$E, $B29)</f>
        <v>1</v>
      </c>
      <c r="H29" s="4">
        <f>MINIFS(Rankings!P:P, Rankings!$E:$E, $B29)</f>
        <v>1</v>
      </c>
      <c r="I29" s="4">
        <f>MINIFS(Rankings!R:R, Rankings!$E:$E, $B29)</f>
        <v>1</v>
      </c>
      <c r="J29" s="214">
        <f>MINIFS(Rankings!Q:Q, Rankings!$E:$E, $B29)</f>
        <v>1</v>
      </c>
      <c r="K29" s="3"/>
      <c r="L29" s="3"/>
      <c r="M29" s="4"/>
      <c r="Q29" s="1"/>
      <c r="R29" s="3"/>
      <c r="S29" s="3"/>
      <c r="T29" s="4"/>
      <c r="U29" s="173"/>
      <c r="V29" s="173"/>
      <c r="Y29" s="174"/>
      <c r="AA29" s="3"/>
      <c r="AB29" s="4"/>
    </row>
    <row r="30" ht="15.75" customHeight="1">
      <c r="B30" s="229" t="str">
        <f>Rankings!$P$1</f>
        <v>Weston</v>
      </c>
      <c r="C30" s="4">
        <f>MINIFS(Rankings!K:K, Rankings!$E:$E, $B30)</f>
        <v>1</v>
      </c>
      <c r="D30" s="4">
        <f>MINIFS(Rankings!L:L, Rankings!$E:$E, $B30)</f>
        <v>1</v>
      </c>
      <c r="E30" s="4">
        <f>MINIFS(Rankings!M:M, Rankings!$E:$E, $B30)</f>
        <v>1</v>
      </c>
      <c r="F30" s="4">
        <f>MINIFS(Rankings!N:N, Rankings!$E:$E, $B30)</f>
        <v>1</v>
      </c>
      <c r="G30" s="4">
        <f>MINIFS(Rankings!O:O, Rankings!$E:$E, $B30)</f>
        <v>1</v>
      </c>
      <c r="H30" s="4">
        <f>MINIFS(Rankings!P:P, Rankings!$E:$E, $B30)</f>
        <v>1</v>
      </c>
      <c r="I30" s="4">
        <f>MINIFS(Rankings!R:R, Rankings!$E:$E, $B30)</f>
        <v>1</v>
      </c>
      <c r="J30" s="214">
        <f>MINIFS(Rankings!Q:Q, Rankings!$E:$E, $B30)</f>
        <v>1</v>
      </c>
      <c r="K30" s="3"/>
      <c r="L30" s="3"/>
      <c r="M30" s="4"/>
      <c r="Q30" s="1"/>
      <c r="R30" s="3"/>
      <c r="S30" s="3"/>
      <c r="T30" s="4"/>
      <c r="U30" s="173"/>
      <c r="V30" s="173"/>
      <c r="Y30" s="174"/>
      <c r="AA30" s="3"/>
      <c r="AB30" s="4"/>
    </row>
    <row r="31" ht="15.75" customHeight="1">
      <c r="B31" s="232" t="str">
        <f>Rankings!$R$1</f>
        <v>Jake</v>
      </c>
      <c r="C31" s="4">
        <f>MINIFS(Rankings!K:K, Rankings!$E:$E, $B31)</f>
        <v>1</v>
      </c>
      <c r="D31" s="4">
        <f>MINIFS(Rankings!L:L, Rankings!$E:$E, $B31)</f>
        <v>1</v>
      </c>
      <c r="E31" s="4">
        <f>MINIFS(Rankings!M:M, Rankings!$E:$E, $B31)</f>
        <v>1</v>
      </c>
      <c r="F31" s="4">
        <f>MINIFS(Rankings!N:N, Rankings!$E:$E, $B31)</f>
        <v>1</v>
      </c>
      <c r="G31" s="4">
        <f>MINIFS(Rankings!O:O, Rankings!$E:$E, $B31)</f>
        <v>1</v>
      </c>
      <c r="H31" s="4">
        <f>MINIFS(Rankings!P:P, Rankings!$E:$E, $B31)</f>
        <v>1</v>
      </c>
      <c r="I31" s="4">
        <f>MINIFS(Rankings!R:R, Rankings!$E:$E, $B31)</f>
        <v>1</v>
      </c>
      <c r="J31" s="233" t="s">
        <v>257</v>
      </c>
      <c r="K31" s="3"/>
      <c r="L31" s="3"/>
      <c r="M31" s="4"/>
      <c r="Q31" s="1"/>
      <c r="R31" s="3"/>
      <c r="S31" s="3"/>
      <c r="T31" s="4"/>
      <c r="U31" s="173"/>
      <c r="V31" s="173"/>
      <c r="Y31" s="174"/>
      <c r="AA31" s="3"/>
      <c r="AB31" s="4"/>
    </row>
    <row r="32" ht="15.75" customHeight="1">
      <c r="B32" s="239" t="str">
        <f>Rankings!$Q$1</f>
        <v>Flocco</v>
      </c>
      <c r="C32" s="241">
        <f>MINIFS(Rankings!K:K, Rankings!$E:$E, $B32)</f>
        <v>1</v>
      </c>
      <c r="D32" s="241">
        <f>MINIFS(Rankings!L:L, Rankings!$E:$E, $B32)</f>
        <v>1</v>
      </c>
      <c r="E32" s="241">
        <f>MINIFS(Rankings!M:M, Rankings!$E:$E, $B32)</f>
        <v>1</v>
      </c>
      <c r="F32" s="241">
        <f>MINIFS(Rankings!N:N, Rankings!$E:$E, $B32)</f>
        <v>1</v>
      </c>
      <c r="G32" s="241">
        <f>MINIFS(Rankings!O:O, Rankings!$E:$E, $B32)</f>
        <v>1</v>
      </c>
      <c r="H32" s="241">
        <f>MINIFS(Rankings!P:P, Rankings!$E:$E, $B32)</f>
        <v>1</v>
      </c>
      <c r="I32" s="245" t="s">
        <v>257</v>
      </c>
      <c r="J32" s="246">
        <f>MINIFS(Rankings!Q:Q, Rankings!$E:$E, $B32)</f>
        <v>1</v>
      </c>
      <c r="K32" s="3"/>
      <c r="L32" s="3"/>
      <c r="M32" s="4"/>
      <c r="Q32" s="1"/>
      <c r="R32" s="3"/>
      <c r="S32" s="3"/>
      <c r="T32" s="4"/>
      <c r="U32" s="173"/>
      <c r="V32" s="173"/>
      <c r="Y32" s="174"/>
      <c r="AA32" s="3"/>
      <c r="AB32" s="4"/>
    </row>
    <row r="33" ht="15.75" customHeight="1">
      <c r="B33" s="1"/>
      <c r="C33" s="3"/>
      <c r="D33" s="3"/>
      <c r="E33" s="4"/>
      <c r="I33" s="1"/>
      <c r="J33" s="1"/>
      <c r="K33" s="3"/>
      <c r="L33" s="3"/>
      <c r="M33" s="4"/>
      <c r="Q33" s="1"/>
      <c r="R33" s="3"/>
      <c r="S33" s="3"/>
      <c r="T33" s="4"/>
      <c r="U33" s="173"/>
      <c r="V33" s="173"/>
      <c r="Y33" s="174"/>
      <c r="AA33" s="3"/>
      <c r="AB33" s="4"/>
    </row>
    <row r="34" ht="15.75" customHeight="1">
      <c r="B34" s="200" t="s">
        <v>275</v>
      </c>
      <c r="C34" s="9"/>
      <c r="D34" s="9"/>
      <c r="E34" s="9"/>
      <c r="F34" s="9"/>
      <c r="G34" s="9"/>
      <c r="H34" s="9"/>
      <c r="I34" s="9"/>
      <c r="J34" s="11"/>
      <c r="K34" s="3"/>
      <c r="L34" s="3"/>
      <c r="M34" s="4"/>
      <c r="Q34" s="1"/>
      <c r="R34" s="3"/>
      <c r="S34" s="3"/>
      <c r="T34" s="4"/>
      <c r="U34" s="173"/>
      <c r="V34" s="173"/>
      <c r="Y34" s="174"/>
      <c r="AA34" s="3"/>
      <c r="AB34" s="4"/>
    </row>
    <row r="35" ht="15.75" customHeight="1">
      <c r="B35" s="202" t="s">
        <v>170</v>
      </c>
      <c r="C35" s="23" t="str">
        <f>Rankings!$K$1</f>
        <v>Logan</v>
      </c>
      <c r="D35" s="65" t="str">
        <f>Rankings!$L$1</f>
        <v>Parker</v>
      </c>
      <c r="E35" s="92" t="str">
        <f>Rankings!$M$1</f>
        <v>Giacomo</v>
      </c>
      <c r="F35" s="116" t="str">
        <f>Rankings!$N$1</f>
        <v>Rosey</v>
      </c>
      <c r="G35" s="137" t="str">
        <f>Rankings!$O$1</f>
        <v>TTAC</v>
      </c>
      <c r="H35" s="249" t="str">
        <f>Rankings!$P$1</f>
        <v>Weston</v>
      </c>
      <c r="I35" s="178" t="str">
        <f>Rankings!$R$1</f>
        <v>Jake</v>
      </c>
      <c r="J35" s="204" t="str">
        <f>Rankings!$Q$1</f>
        <v>Flocco</v>
      </c>
      <c r="K35" s="3"/>
      <c r="L35" s="3"/>
      <c r="M35" s="4"/>
      <c r="Q35" s="1"/>
      <c r="R35" s="3"/>
      <c r="S35" s="3"/>
      <c r="T35" s="4"/>
      <c r="U35" s="173"/>
      <c r="V35" s="173"/>
      <c r="Y35" s="174"/>
      <c r="AA35" s="3"/>
      <c r="AB35" s="4"/>
    </row>
    <row r="36" ht="15.75" customHeight="1">
      <c r="B36" s="209" t="str">
        <f>Rankings!$K$1</f>
        <v>Logan</v>
      </c>
      <c r="C36" s="4">
        <f>MAXIFS(Rankings!K:K, Rankings!$E:$E, $B36)</f>
        <v>7</v>
      </c>
      <c r="D36" s="4">
        <f>MAXIFS(Rankings!L:L, Rankings!$E:$E, $B36)</f>
        <v>7</v>
      </c>
      <c r="E36" s="4">
        <f>MAXIFS(Rankings!M:M, Rankings!$E:$E, $B36)</f>
        <v>7</v>
      </c>
      <c r="F36" s="4">
        <f>MAXIFS(Rankings!N:N, Rankings!$E:$E, $B36)</f>
        <v>7</v>
      </c>
      <c r="G36" s="4">
        <f>MAXIFS(Rankings!O:O, Rankings!$E:$E, $B36)</f>
        <v>7</v>
      </c>
      <c r="H36" s="4">
        <f>MAXIFS(Rankings!P:P, Rankings!$E:$E, $B36)</f>
        <v>7</v>
      </c>
      <c r="I36" s="4">
        <f>MAXIFS(Rankings!R:R, Rankings!$E:$E, $B36)</f>
        <v>7</v>
      </c>
      <c r="J36" s="214">
        <f>MAXIFS(Rankings!Q:Q, Rankings!$E:$E, $B36)</f>
        <v>7</v>
      </c>
      <c r="K36" s="3"/>
      <c r="L36" s="3"/>
      <c r="M36" s="4"/>
      <c r="Q36" s="1"/>
      <c r="R36" s="3"/>
      <c r="S36" s="3"/>
      <c r="T36" s="4"/>
      <c r="U36" s="173"/>
      <c r="V36" s="173"/>
      <c r="Y36" s="174"/>
      <c r="AA36" s="3"/>
      <c r="AB36" s="4"/>
    </row>
    <row r="37" ht="15.75" customHeight="1">
      <c r="B37" s="215" t="str">
        <f>Rankings!$L$1</f>
        <v>Parker</v>
      </c>
      <c r="C37" s="4">
        <f>MAXIFS(Rankings!K:K, Rankings!$E:$E, $B37)</f>
        <v>7</v>
      </c>
      <c r="D37" s="4">
        <f>MAXIFS(Rankings!L:L, Rankings!$E:$E, $B37)</f>
        <v>5</v>
      </c>
      <c r="E37" s="4">
        <f>MAXIFS(Rankings!M:M, Rankings!$E:$E, $B37)</f>
        <v>7</v>
      </c>
      <c r="F37" s="4">
        <f>MAXIFS(Rankings!N:N, Rankings!$E:$E, $B37)</f>
        <v>7</v>
      </c>
      <c r="G37" s="4">
        <f>MAXIFS(Rankings!O:O, Rankings!$E:$E, $B37)</f>
        <v>7</v>
      </c>
      <c r="H37" s="4">
        <f>MAXIFS(Rankings!P:P, Rankings!$E:$E, $B37)</f>
        <v>7</v>
      </c>
      <c r="I37" s="4">
        <f>MAXIFS(Rankings!R:R, Rankings!$E:$E, $B37)</f>
        <v>7</v>
      </c>
      <c r="J37" s="214">
        <f>MAXIFS(Rankings!Q:Q, Rankings!$E:$E, $B37)</f>
        <v>7</v>
      </c>
      <c r="K37" s="3"/>
      <c r="L37" s="3"/>
      <c r="M37" s="4"/>
      <c r="Q37" s="1"/>
      <c r="R37" s="3"/>
      <c r="S37" s="3"/>
      <c r="T37" s="4"/>
      <c r="U37" s="173"/>
      <c r="V37" s="173"/>
      <c r="Y37" s="174"/>
      <c r="AA37" s="3"/>
      <c r="AB37" s="4"/>
    </row>
    <row r="38" ht="15.75" customHeight="1">
      <c r="B38" s="218" t="str">
        <f>Rankings!$M$1</f>
        <v>Giacomo</v>
      </c>
      <c r="C38" s="4">
        <f>MAXIFS(Rankings!K:K, Rankings!$E:$E, $B38)</f>
        <v>7</v>
      </c>
      <c r="D38" s="4">
        <f>MAXIFS(Rankings!L:L, Rankings!$E:$E, $B38)</f>
        <v>7</v>
      </c>
      <c r="E38" s="4">
        <f>MAXIFS(Rankings!M:M, Rankings!$E:$E, $B38)</f>
        <v>6</v>
      </c>
      <c r="F38" s="4">
        <f>MAXIFS(Rankings!N:N, Rankings!$E:$E, $B38)</f>
        <v>7</v>
      </c>
      <c r="G38" s="4">
        <f>MAXIFS(Rankings!O:O, Rankings!$E:$E, $B38)</f>
        <v>7</v>
      </c>
      <c r="H38" s="4">
        <f>MAXIFS(Rankings!P:P, Rankings!$E:$E, $B38)</f>
        <v>7</v>
      </c>
      <c r="I38" s="4">
        <f>MAXIFS(Rankings!R:R, Rankings!$E:$E, $B38)</f>
        <v>7</v>
      </c>
      <c r="J38" s="214">
        <f>MAXIFS(Rankings!Q:Q, Rankings!$E:$E, $B38)</f>
        <v>7</v>
      </c>
      <c r="K38" s="3"/>
      <c r="L38" s="3"/>
      <c r="M38" s="4"/>
      <c r="Q38" s="1"/>
      <c r="R38" s="3"/>
      <c r="S38" s="3"/>
      <c r="T38" s="4"/>
      <c r="U38" s="173"/>
      <c r="V38" s="173"/>
      <c r="Y38" s="174"/>
      <c r="AA38" s="3"/>
      <c r="AB38" s="4"/>
    </row>
    <row r="39" ht="15.75" customHeight="1">
      <c r="B39" s="224" t="str">
        <f>Rankings!$N$1</f>
        <v>Rosey</v>
      </c>
      <c r="C39" s="4">
        <f>MAXIFS(Rankings!K:K, Rankings!$E:$E, $B39)</f>
        <v>7</v>
      </c>
      <c r="D39" s="4">
        <f>MAXIFS(Rankings!L:L, Rankings!$E:$E, $B39)</f>
        <v>7</v>
      </c>
      <c r="E39" s="4">
        <f>MAXIFS(Rankings!M:M, Rankings!$E:$E, $B39)</f>
        <v>7</v>
      </c>
      <c r="F39" s="4">
        <f>MAXIFS(Rankings!N:N, Rankings!$E:$E, $B39)</f>
        <v>6</v>
      </c>
      <c r="G39" s="4">
        <f>MAXIFS(Rankings!O:O, Rankings!$E:$E, $B39)</f>
        <v>7</v>
      </c>
      <c r="H39" s="4">
        <f>MAXIFS(Rankings!P:P, Rankings!$E:$E, $B39)</f>
        <v>7</v>
      </c>
      <c r="I39" s="4">
        <f>MAXIFS(Rankings!R:R, Rankings!$E:$E, $B39)</f>
        <v>7</v>
      </c>
      <c r="J39" s="214">
        <f>MAXIFS(Rankings!Q:Q, Rankings!$E:$E, $B39)</f>
        <v>7</v>
      </c>
      <c r="K39" s="3"/>
      <c r="L39" s="3"/>
      <c r="M39" s="4"/>
      <c r="Q39" s="1"/>
      <c r="R39" s="3"/>
      <c r="S39" s="3"/>
      <c r="T39" s="4"/>
      <c r="U39" s="173"/>
      <c r="V39" s="173"/>
      <c r="Y39" s="174"/>
      <c r="AA39" s="3"/>
      <c r="AB39" s="4"/>
    </row>
    <row r="40" ht="15.75" customHeight="1">
      <c r="B40" s="228" t="str">
        <f>Rankings!$O$1</f>
        <v>TTAC</v>
      </c>
      <c r="C40" s="4">
        <f>MAXIFS(Rankings!K:K, Rankings!$E:$E, $B40)</f>
        <v>7</v>
      </c>
      <c r="D40" s="4">
        <f>MAXIFS(Rankings!L:L, Rankings!$E:$E, $B40)</f>
        <v>7</v>
      </c>
      <c r="E40" s="4">
        <f>MAXIFS(Rankings!M:M, Rankings!$E:$E, $B40)</f>
        <v>7</v>
      </c>
      <c r="F40" s="4">
        <f>MAXIFS(Rankings!N:N, Rankings!$E:$E, $B40)</f>
        <v>7</v>
      </c>
      <c r="G40" s="4">
        <f>MAXIFS(Rankings!O:O, Rankings!$E:$E, $B40)</f>
        <v>7</v>
      </c>
      <c r="H40" s="4">
        <f>MAXIFS(Rankings!P:P, Rankings!$E:$E, $B40)</f>
        <v>7</v>
      </c>
      <c r="I40" s="4">
        <f>MAXIFS(Rankings!R:R, Rankings!$E:$E, $B40)</f>
        <v>7</v>
      </c>
      <c r="J40" s="214">
        <f>MAXIFS(Rankings!Q:Q, Rankings!$E:$E, $B40)</f>
        <v>7</v>
      </c>
      <c r="K40" s="3"/>
      <c r="L40" s="3"/>
      <c r="M40" s="4"/>
      <c r="Q40" s="1"/>
      <c r="R40" s="3"/>
      <c r="S40" s="3"/>
      <c r="T40" s="4"/>
      <c r="U40" s="173"/>
      <c r="V40" s="173"/>
      <c r="Y40" s="174"/>
      <c r="AA40" s="3"/>
      <c r="AB40" s="4"/>
    </row>
    <row r="41" ht="15.75" customHeight="1">
      <c r="B41" s="229" t="str">
        <f>Rankings!$P$1</f>
        <v>Weston</v>
      </c>
      <c r="C41" s="4">
        <f>MAXIFS(Rankings!K:K, Rankings!$E:$E, $B41)</f>
        <v>7</v>
      </c>
      <c r="D41" s="4">
        <f>MAXIFS(Rankings!L:L, Rankings!$E:$E, $B41)</f>
        <v>7</v>
      </c>
      <c r="E41" s="4">
        <f>MAXIFS(Rankings!M:M, Rankings!$E:$E, $B41)</f>
        <v>7</v>
      </c>
      <c r="F41" s="4">
        <f>MAXIFS(Rankings!N:N, Rankings!$E:$E, $B41)</f>
        <v>7</v>
      </c>
      <c r="G41" s="4">
        <f>MAXIFS(Rankings!O:O, Rankings!$E:$E, $B41)</f>
        <v>7</v>
      </c>
      <c r="H41" s="4">
        <f>MAXIFS(Rankings!P:P, Rankings!$E:$E, $B41)</f>
        <v>7</v>
      </c>
      <c r="I41" s="4">
        <f>MAXIFS(Rankings!R:R, Rankings!$E:$E, $B41)</f>
        <v>7</v>
      </c>
      <c r="J41" s="214">
        <f>MAXIFS(Rankings!Q:Q, Rankings!$E:$E, $B41)</f>
        <v>7</v>
      </c>
      <c r="K41" s="3"/>
      <c r="L41" s="3"/>
      <c r="M41" s="4"/>
      <c r="Q41" s="1"/>
      <c r="R41" s="3"/>
      <c r="S41" s="3"/>
      <c r="T41" s="4"/>
      <c r="U41" s="173"/>
      <c r="V41" s="173"/>
      <c r="Y41" s="174"/>
      <c r="AA41" s="3"/>
      <c r="AB41" s="4"/>
    </row>
    <row r="42" ht="15.75" customHeight="1">
      <c r="B42" s="232" t="str">
        <f>Rankings!$R$1</f>
        <v>Jake</v>
      </c>
      <c r="C42" s="4">
        <f>MAXIFS(Rankings!K:K, Rankings!$E:$E, $B42)</f>
        <v>7</v>
      </c>
      <c r="D42" s="4">
        <f>MAXIFS(Rankings!L:L, Rankings!$E:$E, $B42)</f>
        <v>7</v>
      </c>
      <c r="E42" s="4">
        <f>MAXIFS(Rankings!M:M, Rankings!$E:$E, $B42)</f>
        <v>7</v>
      </c>
      <c r="F42" s="4">
        <f>MAXIFS(Rankings!N:N, Rankings!$E:$E, $B42)</f>
        <v>7</v>
      </c>
      <c r="G42" s="4">
        <f>MAXIFS(Rankings!O:O, Rankings!$E:$E, $B42)</f>
        <v>7</v>
      </c>
      <c r="H42" s="4">
        <f>MAXIFS(Rankings!P:P, Rankings!$E:$E, $B42)</f>
        <v>7</v>
      </c>
      <c r="I42" s="4">
        <f>MAXIFS(Rankings!R:R, Rankings!$E:$E, $B42)</f>
        <v>5</v>
      </c>
      <c r="J42" s="233" t="s">
        <v>257</v>
      </c>
      <c r="K42" s="3"/>
      <c r="L42" s="3"/>
      <c r="M42" s="4"/>
      <c r="Q42" s="1"/>
      <c r="R42" s="3"/>
      <c r="S42" s="3"/>
      <c r="T42" s="4"/>
      <c r="U42" s="173"/>
      <c r="V42" s="173"/>
      <c r="Y42" s="174"/>
      <c r="AA42" s="3"/>
      <c r="AB42" s="4"/>
    </row>
    <row r="43" ht="15.75" customHeight="1">
      <c r="B43" s="239" t="str">
        <f>Rankings!$Q$1</f>
        <v>Flocco</v>
      </c>
      <c r="C43" s="241">
        <f>MAXIFS(Rankings!K:K, Rankings!$E:$E, $B43)</f>
        <v>7</v>
      </c>
      <c r="D43" s="241">
        <f>MAXIFS(Rankings!L:L, Rankings!$E:$E, $B43)</f>
        <v>7</v>
      </c>
      <c r="E43" s="241">
        <f>MAXIFS(Rankings!M:M, Rankings!$E:$E, $B43)</f>
        <v>7</v>
      </c>
      <c r="F43" s="241">
        <f>MAXIFS(Rankings!N:N, Rankings!$E:$E, $B43)</f>
        <v>7</v>
      </c>
      <c r="G43" s="241">
        <f>MAXIFS(Rankings!O:O, Rankings!$E:$E, $B43)</f>
        <v>7</v>
      </c>
      <c r="H43" s="241">
        <f>MAXIFS(Rankings!P:P, Rankings!$E:$E, $B43)</f>
        <v>7</v>
      </c>
      <c r="I43" s="245" t="s">
        <v>257</v>
      </c>
      <c r="J43" s="246">
        <f>MAXIFS(Rankings!Q:Q, Rankings!$E:$E, $B43)</f>
        <v>7</v>
      </c>
      <c r="K43" s="3"/>
      <c r="L43" s="3"/>
      <c r="M43" s="4"/>
      <c r="Q43" s="1"/>
      <c r="R43" s="3"/>
      <c r="S43" s="3"/>
      <c r="T43" s="4"/>
      <c r="U43" s="173"/>
      <c r="V43" s="173"/>
      <c r="Y43" s="174"/>
      <c r="AA43" s="3"/>
      <c r="AB43" s="4"/>
    </row>
    <row r="44" ht="15.75" customHeight="1">
      <c r="B44" s="1"/>
      <c r="C44" s="3"/>
      <c r="D44" s="3"/>
      <c r="E44" s="4"/>
      <c r="I44" s="1"/>
      <c r="J44" s="1"/>
      <c r="K44" s="3"/>
      <c r="L44" s="3"/>
      <c r="M44" s="4"/>
      <c r="Q44" s="1"/>
      <c r="R44" s="3"/>
      <c r="S44" s="3"/>
      <c r="T44" s="4"/>
      <c r="U44" s="173"/>
      <c r="V44" s="173"/>
      <c r="Y44" s="174"/>
      <c r="AA44" s="3"/>
      <c r="AB44" s="4"/>
    </row>
    <row r="45" ht="15.75" customHeight="1">
      <c r="B45" s="200" t="s">
        <v>290</v>
      </c>
      <c r="C45" s="9"/>
      <c r="D45" s="9"/>
      <c r="E45" s="9"/>
      <c r="F45" s="9"/>
      <c r="G45" s="9"/>
      <c r="H45" s="11"/>
      <c r="I45" s="1"/>
      <c r="J45" s="1"/>
      <c r="K45" s="200" t="s">
        <v>291</v>
      </c>
      <c r="L45" s="9"/>
      <c r="M45" s="9"/>
      <c r="N45" s="9"/>
      <c r="O45" s="9"/>
      <c r="P45" s="9"/>
      <c r="Q45" s="11"/>
      <c r="R45" s="3"/>
      <c r="S45" s="200" t="s">
        <v>292</v>
      </c>
      <c r="T45" s="9"/>
      <c r="U45" s="9"/>
      <c r="V45" s="9"/>
      <c r="W45" s="9"/>
      <c r="X45" s="9"/>
      <c r="Y45" s="11"/>
      <c r="AA45" s="200" t="s">
        <v>293</v>
      </c>
      <c r="AB45" s="9"/>
      <c r="AC45" s="9"/>
      <c r="AD45" s="9"/>
      <c r="AE45" s="9"/>
      <c r="AF45" s="9"/>
      <c r="AG45" s="11"/>
    </row>
    <row r="46" ht="15.75" customHeight="1">
      <c r="B46" s="250" t="s">
        <v>19</v>
      </c>
      <c r="C46" s="251" t="s">
        <v>16</v>
      </c>
      <c r="D46" s="251" t="s">
        <v>75</v>
      </c>
      <c r="E46" s="252" t="s">
        <v>76</v>
      </c>
      <c r="F46" s="253" t="s">
        <v>78</v>
      </c>
      <c r="G46" s="253" t="s">
        <v>81</v>
      </c>
      <c r="H46" s="254" t="s">
        <v>294</v>
      </c>
      <c r="I46" s="1"/>
      <c r="J46" s="1"/>
      <c r="K46" s="250" t="s">
        <v>19</v>
      </c>
      <c r="L46" s="251" t="s">
        <v>16</v>
      </c>
      <c r="M46" s="251" t="s">
        <v>75</v>
      </c>
      <c r="N46" s="252" t="s">
        <v>76</v>
      </c>
      <c r="O46" s="253" t="s">
        <v>78</v>
      </c>
      <c r="P46" s="253" t="s">
        <v>81</v>
      </c>
      <c r="Q46" s="254" t="s">
        <v>294</v>
      </c>
      <c r="R46" s="3"/>
      <c r="S46" s="250" t="s">
        <v>19</v>
      </c>
      <c r="T46" s="251" t="s">
        <v>16</v>
      </c>
      <c r="U46" s="251" t="s">
        <v>75</v>
      </c>
      <c r="V46" s="252" t="s">
        <v>76</v>
      </c>
      <c r="W46" s="253" t="s">
        <v>78</v>
      </c>
      <c r="X46" s="253" t="s">
        <v>81</v>
      </c>
      <c r="Y46" s="254" t="s">
        <v>294</v>
      </c>
      <c r="AA46" s="250" t="s">
        <v>19</v>
      </c>
      <c r="AB46" s="251" t="s">
        <v>16</v>
      </c>
      <c r="AC46" s="251" t="s">
        <v>75</v>
      </c>
      <c r="AD46" s="252" t="s">
        <v>76</v>
      </c>
      <c r="AE46" s="253" t="s">
        <v>78</v>
      </c>
      <c r="AF46" s="253" t="s">
        <v>81</v>
      </c>
      <c r="AG46" s="254" t="s">
        <v>294</v>
      </c>
    </row>
    <row r="47" ht="15.75" customHeight="1">
      <c r="B47" s="1">
        <f>IFERROR(__xludf.DUMMYFUNCTION("FILTER(Rankings!D:J, Rankings!F:F = MIN(Rankings!F:F))"),45919.0)</f>
        <v>45919</v>
      </c>
      <c r="C47" s="3" t="str">
        <f>IFERROR(__xludf.DUMMYFUNCTION("""COMPUTED_VALUE"""),"Rosey")</f>
        <v>Rosey</v>
      </c>
      <c r="D47" s="255">
        <f>IFERROR(__xludf.DUMMYFUNCTION("""COMPUTED_VALUE"""),1.0)</f>
        <v>1</v>
      </c>
      <c r="E47" s="4">
        <f>IFERROR(__xludf.DUMMYFUNCTION("""COMPUTED_VALUE"""),0.0)</f>
        <v>0</v>
      </c>
      <c r="F47" s="256">
        <f>IFERROR(__xludf.DUMMYFUNCTION("""COMPUTED_VALUE"""),1.0)</f>
        <v>1</v>
      </c>
      <c r="G47" s="257" t="str">
        <f>IFERROR(__xludf.DUMMYFUNCTION("""COMPUTED_VALUE"""),"TEMPTATION")</f>
        <v>TEMPTATION</v>
      </c>
      <c r="H47" s="257" t="str">
        <f>IFERROR(__xludf.DUMMYFUNCTION("""COMPUTED_VALUE"""),"Joey Bada$$")</f>
        <v>Joey Bada$$</v>
      </c>
      <c r="I47" s="1"/>
      <c r="J47" s="1"/>
      <c r="K47" s="1">
        <f>IFERROR(__xludf.DUMMYFUNCTION("FILTER(Rankings!D:J, Rankings!F:F = MAX(Rankings!F:F))"),45933.0)</f>
        <v>45933</v>
      </c>
      <c r="L47" s="3" t="str">
        <f>IFERROR(__xludf.DUMMYFUNCTION("""COMPUTED_VALUE"""),"TTAC")</f>
        <v>TTAC</v>
      </c>
      <c r="M47" s="255">
        <f>IFERROR(__xludf.DUMMYFUNCTION("""COMPUTED_VALUE"""),7.0)</f>
        <v>7</v>
      </c>
      <c r="N47" s="4">
        <f>IFERROR(__xludf.DUMMYFUNCTION("""COMPUTED_VALUE"""),0.0)</f>
        <v>0</v>
      </c>
      <c r="O47" s="256">
        <f>IFERROR(__xludf.DUMMYFUNCTION("""COMPUTED_VALUE"""),7.0)</f>
        <v>7</v>
      </c>
      <c r="P47" s="257" t="str">
        <f>IFERROR(__xludf.DUMMYFUNCTION("""COMPUTED_VALUE"""),"Still Woman Enough (feat. Reba McEntire &amp; Carrie Underwood")</f>
        <v>Still Woman Enough (feat. Reba McEntire &amp; Carrie Underwood</v>
      </c>
      <c r="Q47" s="257" t="str">
        <f>IFERROR(__xludf.DUMMYFUNCTION("""COMPUTED_VALUE"""),"Loretta Lynn, Reba McEntire, Carrie Underwood")</f>
        <v>Loretta Lynn, Reba McEntire, Carrie Underwood</v>
      </c>
      <c r="R47" s="3"/>
      <c r="S47" s="1" t="str">
        <f>IFERROR(__xludf.DUMMYFUNCTION("FILTER(Rankings!D:J, Rankings!F:F &lt;&gt; 1,Rankings!F:F &lt;&gt;7, Rankings!G:G = 0)"),"")</f>
        <v/>
      </c>
      <c r="T47" s="3"/>
      <c r="U47" s="3" t="str">
        <f>IFERROR(__xludf.DUMMYFUNCTION("""COMPUTED_VALUE"""),"#NeverForget #Kirk")</f>
        <v>#NeverForget #Kirk</v>
      </c>
      <c r="V47" s="4"/>
      <c r="W47" s="257"/>
      <c r="X47" s="257"/>
      <c r="Y47" s="257"/>
      <c r="AA47" s="1" t="str">
        <f>IFERROR(__xludf.DUMMYFUNCTION("FILTER(Rankings!D:J, (Rankings!F:F = MAX(Rankings!H:H)*(Rankings!F:F&lt;7)))"),"#N/A")</f>
        <v>#N/A</v>
      </c>
      <c r="AB47" s="3"/>
      <c r="AC47" s="3"/>
      <c r="AD47" s="4"/>
    </row>
    <row r="48" ht="15.75" customHeight="1">
      <c r="B48" s="1">
        <f>IFERROR(__xludf.DUMMYFUNCTION("""COMPUTED_VALUE"""),46220.0)</f>
        <v>46220</v>
      </c>
      <c r="C48" s="3" t="str">
        <f>IFERROR(__xludf.DUMMYFUNCTION("""COMPUTED_VALUE"""),"Giacomo")</f>
        <v>Giacomo</v>
      </c>
      <c r="D48" s="255">
        <f>IFERROR(__xludf.DUMMYFUNCTION("""COMPUTED_VALUE"""),1.0)</f>
        <v>1</v>
      </c>
      <c r="E48" s="4">
        <f>IFERROR(__xludf.DUMMYFUNCTION("""COMPUTED_VALUE"""),0.0)</f>
        <v>0</v>
      </c>
      <c r="F48" s="256">
        <f>IFERROR(__xludf.DUMMYFUNCTION("""COMPUTED_VALUE"""),1.0)</f>
        <v>1</v>
      </c>
      <c r="G48" s="257" t="str">
        <f>IFERROR(__xludf.DUMMYFUNCTION("""COMPUTED_VALUE"""),"TELEPATHY LOVE")</f>
        <v>TELEPATHY LOVE</v>
      </c>
      <c r="H48" s="257" t="str">
        <f>IFERROR(__xludf.DUMMYFUNCTION("""COMPUTED_VALUE"""),"BNYX®, Clara La San")</f>
        <v>BNYX®, Clara La San</v>
      </c>
      <c r="I48" s="1"/>
      <c r="J48" s="1"/>
      <c r="K48" s="1">
        <f>IFERROR(__xludf.DUMMYFUNCTION("""COMPUTED_VALUE"""),46015.0)</f>
        <v>46015</v>
      </c>
      <c r="L48" s="3" t="str">
        <f>IFERROR(__xludf.DUMMYFUNCTION("""COMPUTED_VALUE"""),"Weston")</f>
        <v>Weston</v>
      </c>
      <c r="M48" s="4">
        <f>IFERROR(__xludf.DUMMYFUNCTION("""COMPUTED_VALUE"""),7.0)</f>
        <v>7</v>
      </c>
      <c r="N48" s="256">
        <f>IFERROR(__xludf.DUMMYFUNCTION("""COMPUTED_VALUE"""),0.0)</f>
        <v>0</v>
      </c>
      <c r="O48" s="256">
        <f>IFERROR(__xludf.DUMMYFUNCTION("""COMPUTED_VALUE"""),7.0)</f>
        <v>7</v>
      </c>
      <c r="P48" s="257" t="str">
        <f>IFERROR(__xludf.DUMMYFUNCTION("""COMPUTED_VALUE"""),"Santa Diss Track")</f>
        <v>Santa Diss Track</v>
      </c>
      <c r="Q48" s="1" t="str">
        <f>IFERROR(__xludf.DUMMYFUNCTION("""COMPUTED_VALUE"""),"Logan Paul")</f>
        <v>Logan Paul</v>
      </c>
      <c r="R48" s="3"/>
      <c r="S48" s="3"/>
      <c r="T48" s="4"/>
      <c r="U48" s="173"/>
      <c r="V48" s="173"/>
      <c r="W48" s="257"/>
      <c r="X48" s="257"/>
      <c r="Y48" s="174"/>
      <c r="AA48" s="3"/>
      <c r="AB48" s="4"/>
    </row>
    <row r="49" ht="15.75" customHeight="1">
      <c r="B49" s="1"/>
      <c r="C49" s="3"/>
      <c r="D49" s="3"/>
      <c r="E49" s="4"/>
      <c r="I49" s="1"/>
      <c r="J49" s="1"/>
      <c r="K49" s="3"/>
      <c r="L49" s="3"/>
      <c r="M49" s="4"/>
      <c r="Q49" s="1"/>
      <c r="R49" s="3"/>
      <c r="S49" s="3"/>
      <c r="T49" s="4"/>
      <c r="U49" s="173"/>
      <c r="V49" s="173"/>
      <c r="W49" s="257"/>
      <c r="X49" s="257"/>
      <c r="Y49" s="174"/>
      <c r="AA49" s="3"/>
      <c r="AB49" s="4"/>
    </row>
    <row r="50" ht="15.75" customHeight="1">
      <c r="B50" s="1"/>
      <c r="C50" s="3"/>
      <c r="D50" s="3"/>
      <c r="E50" s="4"/>
      <c r="I50" s="1"/>
      <c r="J50" s="1"/>
      <c r="K50" s="1"/>
      <c r="L50" s="3"/>
      <c r="M50" s="4"/>
      <c r="Q50" s="1"/>
      <c r="R50" s="3"/>
      <c r="S50" s="3"/>
      <c r="T50" s="4"/>
      <c r="U50" s="173"/>
      <c r="V50" s="173"/>
      <c r="W50" s="257"/>
      <c r="X50" s="257"/>
      <c r="Y50" s="174"/>
      <c r="AA50" s="3"/>
      <c r="AB50" s="4"/>
    </row>
    <row r="51" ht="15.75" customHeight="1">
      <c r="B51" s="1"/>
      <c r="C51" s="3"/>
      <c r="D51" s="3"/>
      <c r="E51" s="4"/>
      <c r="I51" s="1"/>
      <c r="J51" s="1"/>
      <c r="K51" s="3"/>
      <c r="L51" s="3"/>
      <c r="M51" s="4"/>
      <c r="Q51" s="1"/>
      <c r="R51" s="3"/>
      <c r="S51" s="3"/>
      <c r="T51" s="4"/>
      <c r="U51" s="173"/>
      <c r="V51" s="173"/>
      <c r="W51" s="257"/>
      <c r="X51" s="257"/>
      <c r="Y51" s="174"/>
      <c r="AA51" s="3"/>
      <c r="AB51" s="4"/>
    </row>
    <row r="52" ht="15.75" customHeight="1">
      <c r="B52" s="1"/>
      <c r="C52" s="3"/>
      <c r="D52" s="3"/>
      <c r="E52" s="4"/>
      <c r="I52" s="1"/>
      <c r="J52" s="1"/>
      <c r="K52" s="3"/>
      <c r="L52" s="3"/>
      <c r="M52" s="4"/>
      <c r="Q52" s="1"/>
      <c r="R52" s="3"/>
      <c r="S52" s="3"/>
      <c r="T52" s="4"/>
      <c r="U52" s="173"/>
      <c r="V52" s="173"/>
      <c r="W52" s="257"/>
      <c r="X52" s="257"/>
      <c r="Y52" s="174"/>
      <c r="AA52" s="3"/>
      <c r="AB52" s="4"/>
    </row>
    <row r="53" ht="15.75" customHeight="1">
      <c r="B53" s="1"/>
      <c r="C53" s="3"/>
      <c r="D53" s="3"/>
      <c r="E53" s="4"/>
      <c r="I53" s="1"/>
      <c r="J53" s="1"/>
      <c r="K53" s="3"/>
      <c r="L53" s="3"/>
      <c r="M53" s="4"/>
      <c r="Q53" s="1"/>
      <c r="R53" s="3"/>
      <c r="S53" s="3"/>
      <c r="T53" s="4"/>
      <c r="U53" s="173"/>
      <c r="V53" s="173"/>
      <c r="W53" s="257"/>
      <c r="X53" s="257"/>
      <c r="Y53" s="174"/>
      <c r="AA53" s="3"/>
      <c r="AB53" s="4"/>
    </row>
    <row r="54" ht="15.75" customHeight="1">
      <c r="B54" s="1"/>
      <c r="C54" s="3"/>
      <c r="D54" s="3"/>
      <c r="E54" s="4"/>
      <c r="I54" s="1"/>
      <c r="J54" s="1"/>
      <c r="K54" s="3"/>
      <c r="L54" s="3"/>
      <c r="M54" s="4"/>
      <c r="Q54" s="1"/>
      <c r="R54" s="3"/>
      <c r="S54" s="1">
        <f>IFERROR(__xludf.DUMMYFUNCTION("""COMPUTED_VALUE"""),46307.0)</f>
        <v>46307</v>
      </c>
      <c r="T54" s="4" t="str">
        <f>IFERROR(__xludf.DUMMYFUNCTION("""COMPUTED_VALUE"""),"Giacomo")</f>
        <v>Giacomo</v>
      </c>
      <c r="U54" s="258">
        <f>IFERROR(__xludf.DUMMYFUNCTION("""COMPUTED_VALUE"""),5.0)</f>
        <v>5</v>
      </c>
      <c r="V54" s="258">
        <f>IFERROR(__xludf.DUMMYFUNCTION("""COMPUTED_VALUE"""),0.0)</f>
        <v>0</v>
      </c>
      <c r="W54" s="256">
        <f>IFERROR(__xludf.DUMMYFUNCTION("""COMPUTED_VALUE"""),5.0)</f>
        <v>5</v>
      </c>
      <c r="X54" s="257" t="str">
        <f>IFERROR(__xludf.DUMMYFUNCTION("""COMPUTED_VALUE"""),"Dance Cracka")</f>
        <v>Dance Cracka</v>
      </c>
      <c r="Y54" s="174" t="str">
        <f>IFERROR(__xludf.DUMMYFUNCTION("""COMPUTED_VALUE"""),"1900Rugrat, BLP KOSHER")</f>
        <v>1900Rugrat, BLP KOSHER</v>
      </c>
      <c r="AA54" s="3"/>
      <c r="AB54" s="4"/>
    </row>
    <row r="55" ht="15.75" customHeight="1">
      <c r="B55" s="1"/>
      <c r="C55" s="3"/>
      <c r="D55" s="3"/>
      <c r="E55" s="4"/>
      <c r="I55" s="1"/>
      <c r="J55" s="1"/>
      <c r="K55" s="3"/>
      <c r="L55" s="3"/>
      <c r="M55" s="4"/>
      <c r="Q55" s="1"/>
      <c r="R55" s="3"/>
      <c r="S55" s="1"/>
      <c r="T55" s="4"/>
      <c r="U55" s="258"/>
      <c r="V55" s="258"/>
      <c r="W55" s="256"/>
      <c r="X55" s="257"/>
      <c r="Y55" s="174"/>
      <c r="AA55" s="3"/>
      <c r="AB55" s="4"/>
    </row>
    <row r="56" ht="15.75" customHeight="1">
      <c r="B56" s="1"/>
      <c r="C56" s="3"/>
      <c r="D56" s="3"/>
      <c r="E56" s="4"/>
      <c r="I56" s="1"/>
      <c r="J56" s="1"/>
      <c r="K56" s="3"/>
      <c r="L56" s="3"/>
      <c r="M56" s="4"/>
      <c r="Q56" s="1"/>
      <c r="R56" s="3"/>
      <c r="S56" s="1"/>
      <c r="T56" s="4"/>
      <c r="U56" s="258"/>
      <c r="V56" s="258"/>
      <c r="W56" s="256"/>
      <c r="X56" s="257"/>
      <c r="Y56" s="174"/>
      <c r="AA56" s="3"/>
      <c r="AB56" s="4"/>
    </row>
    <row r="57" ht="15.75" customHeight="1">
      <c r="B57" s="1"/>
      <c r="C57" s="3"/>
      <c r="D57" s="3"/>
      <c r="E57" s="4"/>
      <c r="I57" s="1"/>
      <c r="J57" s="1"/>
      <c r="K57" s="3"/>
      <c r="L57" s="3"/>
      <c r="M57" s="4"/>
      <c r="Q57" s="1"/>
      <c r="R57" s="3"/>
      <c r="S57" s="1"/>
      <c r="T57" s="4"/>
      <c r="U57" s="258"/>
      <c r="V57" s="258"/>
      <c r="W57" s="256"/>
      <c r="X57" s="257"/>
      <c r="Y57" s="174"/>
      <c r="AA57" s="3"/>
      <c r="AB57" s="4"/>
    </row>
    <row r="58" ht="15.75" customHeight="1">
      <c r="B58" s="1"/>
      <c r="C58" s="3"/>
      <c r="D58" s="3"/>
      <c r="E58" s="4"/>
      <c r="I58" s="1"/>
      <c r="J58" s="1"/>
      <c r="K58" s="3"/>
      <c r="L58" s="3"/>
      <c r="M58" s="4"/>
      <c r="Q58" s="1"/>
      <c r="R58" s="3"/>
      <c r="S58" s="1"/>
      <c r="T58" s="4"/>
      <c r="U58" s="258"/>
      <c r="V58" s="258"/>
      <c r="W58" s="256"/>
      <c r="X58" s="257"/>
      <c r="Y58" s="174"/>
      <c r="AA58" s="3"/>
      <c r="AB58" s="4"/>
    </row>
    <row r="59" ht="15.75" customHeight="1">
      <c r="B59" s="1"/>
      <c r="C59" s="3"/>
      <c r="D59" s="3"/>
      <c r="E59" s="4"/>
      <c r="I59" s="1"/>
      <c r="J59" s="1"/>
      <c r="K59" s="3"/>
      <c r="L59" s="3"/>
      <c r="M59" s="4"/>
      <c r="Q59" s="1"/>
      <c r="R59" s="3"/>
      <c r="S59" s="1"/>
      <c r="T59" s="4"/>
      <c r="U59" s="258"/>
      <c r="V59" s="258"/>
      <c r="W59" s="256"/>
      <c r="X59" s="257"/>
      <c r="Y59" s="174"/>
      <c r="AA59" s="3"/>
      <c r="AB59" s="4"/>
    </row>
    <row r="60" ht="15.75" customHeight="1">
      <c r="B60" s="1"/>
      <c r="C60" s="3"/>
      <c r="D60" s="3"/>
      <c r="E60" s="4"/>
      <c r="I60" s="1"/>
      <c r="J60" s="1"/>
      <c r="K60" s="3"/>
      <c r="L60" s="3"/>
      <c r="M60" s="4"/>
      <c r="Q60" s="1"/>
      <c r="R60" s="3"/>
      <c r="S60" s="1"/>
      <c r="T60" s="4"/>
      <c r="U60" s="258"/>
      <c r="V60" s="258"/>
      <c r="W60" s="256"/>
      <c r="X60" s="257"/>
      <c r="Y60" s="174"/>
      <c r="AA60" s="3"/>
      <c r="AB60" s="4"/>
    </row>
    <row r="61" ht="15.75" customHeight="1">
      <c r="B61" s="1"/>
      <c r="C61" s="3"/>
      <c r="D61" s="3"/>
      <c r="E61" s="4"/>
      <c r="I61" s="1"/>
      <c r="J61" s="1"/>
      <c r="K61" s="3"/>
      <c r="L61" s="3"/>
      <c r="M61" s="4"/>
      <c r="Q61" s="1"/>
      <c r="R61" s="3"/>
      <c r="S61" s="1"/>
      <c r="T61" s="4"/>
      <c r="U61" s="258"/>
      <c r="V61" s="258"/>
      <c r="W61" s="256"/>
      <c r="X61" s="257"/>
      <c r="Y61" s="174"/>
      <c r="AA61" s="3"/>
      <c r="AB61" s="4"/>
    </row>
    <row r="62" ht="15.75" customHeight="1">
      <c r="B62" s="1"/>
      <c r="C62" s="3"/>
      <c r="D62" s="3"/>
      <c r="E62" s="4"/>
      <c r="I62" s="1"/>
      <c r="J62" s="1"/>
      <c r="K62" s="3"/>
      <c r="L62" s="3"/>
      <c r="M62" s="4"/>
      <c r="Q62" s="1"/>
      <c r="R62" s="3"/>
      <c r="S62" s="1"/>
      <c r="T62" s="4"/>
      <c r="U62" s="258"/>
      <c r="V62" s="258"/>
      <c r="W62" s="256"/>
      <c r="X62" s="257"/>
      <c r="Y62" s="174"/>
      <c r="AA62" s="3"/>
      <c r="AB62" s="4"/>
    </row>
    <row r="63" ht="15.75" customHeight="1">
      <c r="B63" s="1"/>
      <c r="C63" s="3"/>
      <c r="D63" s="3"/>
      <c r="E63" s="4"/>
      <c r="I63" s="3"/>
      <c r="J63" s="3"/>
      <c r="K63" s="3"/>
      <c r="L63" s="3"/>
      <c r="M63" s="4"/>
      <c r="Q63" s="1"/>
      <c r="R63" s="3"/>
      <c r="S63" s="1"/>
      <c r="T63" s="4"/>
      <c r="U63" s="258"/>
      <c r="V63" s="258"/>
      <c r="W63" s="256"/>
      <c r="X63" s="257"/>
      <c r="Y63" s="174"/>
      <c r="AA63" s="3"/>
      <c r="AB63" s="4"/>
    </row>
    <row r="64" ht="15.75" customHeight="1">
      <c r="B64" s="1"/>
      <c r="C64" s="3"/>
      <c r="D64" s="3"/>
      <c r="E64" s="4"/>
      <c r="I64" s="3"/>
      <c r="J64" s="3"/>
      <c r="K64" s="3"/>
      <c r="L64" s="3"/>
      <c r="M64" s="3"/>
      <c r="Q64" s="1"/>
      <c r="R64" s="3"/>
      <c r="S64" s="1"/>
      <c r="T64" s="4"/>
      <c r="U64" s="258"/>
      <c r="V64" s="258"/>
      <c r="W64" s="256"/>
      <c r="X64" s="257"/>
      <c r="Y64" s="174"/>
      <c r="AA64" s="3"/>
      <c r="AB64" s="4"/>
    </row>
    <row r="65" ht="15.75" customHeight="1">
      <c r="B65" s="1"/>
      <c r="C65" s="3"/>
      <c r="D65" s="3"/>
      <c r="E65" s="4"/>
      <c r="I65" s="3"/>
      <c r="J65" s="3"/>
      <c r="K65" s="3"/>
      <c r="L65" s="3"/>
      <c r="M65" s="3"/>
      <c r="Q65" s="1"/>
      <c r="R65" s="3"/>
      <c r="S65" s="1"/>
      <c r="T65" s="4"/>
      <c r="U65" s="258"/>
      <c r="V65" s="258"/>
      <c r="W65" s="256"/>
      <c r="X65" s="257"/>
      <c r="Y65" s="174"/>
      <c r="AA65" s="3"/>
      <c r="AB65" s="4"/>
    </row>
    <row r="66" ht="15.75" customHeight="1">
      <c r="B66" s="1"/>
      <c r="C66" s="3"/>
      <c r="D66" s="3"/>
      <c r="E66" s="4"/>
      <c r="I66" s="3"/>
      <c r="J66" s="3"/>
      <c r="K66" s="3"/>
      <c r="L66" s="3"/>
      <c r="M66" s="3"/>
      <c r="Q66" s="1"/>
      <c r="R66" s="3"/>
      <c r="S66" s="1"/>
      <c r="T66" s="4"/>
      <c r="U66" s="258"/>
      <c r="V66" s="258"/>
      <c r="W66" s="256"/>
      <c r="X66" s="257"/>
      <c r="Y66" s="174"/>
      <c r="AA66" s="3"/>
      <c r="AB66" s="4"/>
    </row>
    <row r="67" ht="15.75" customHeight="1">
      <c r="B67" s="1"/>
      <c r="C67" s="3"/>
      <c r="D67" s="3"/>
      <c r="E67" s="4"/>
      <c r="I67" s="3"/>
      <c r="J67" s="3"/>
      <c r="K67" s="3"/>
      <c r="L67" s="3"/>
      <c r="M67" s="3"/>
      <c r="Q67" s="3"/>
      <c r="R67" s="3"/>
      <c r="S67" s="1"/>
      <c r="T67" s="4"/>
      <c r="U67" s="258"/>
      <c r="V67" s="258"/>
      <c r="W67" s="256"/>
      <c r="X67" s="257"/>
      <c r="Y67" s="174"/>
      <c r="AA67" s="3"/>
      <c r="AB67" s="4"/>
    </row>
    <row r="68" ht="15.75" customHeight="1">
      <c r="B68" s="1"/>
      <c r="C68" s="3"/>
      <c r="D68" s="3"/>
      <c r="E68" s="4"/>
      <c r="I68" s="3"/>
      <c r="J68" s="3"/>
      <c r="K68" s="3"/>
      <c r="L68" s="3"/>
      <c r="M68" s="3"/>
      <c r="Q68" s="3"/>
      <c r="R68" s="3"/>
      <c r="S68" s="1"/>
      <c r="T68" s="4"/>
      <c r="U68" s="258"/>
      <c r="V68" s="258"/>
      <c r="W68" s="256"/>
      <c r="X68" s="257"/>
      <c r="Y68" s="174"/>
      <c r="AA68" s="3"/>
      <c r="AB68" s="4"/>
    </row>
    <row r="69" ht="15.75" customHeight="1">
      <c r="B69" s="1"/>
      <c r="C69" s="3"/>
      <c r="D69" s="3"/>
      <c r="E69" s="4"/>
      <c r="I69" s="3"/>
      <c r="J69" s="3"/>
      <c r="K69" s="3"/>
      <c r="L69" s="3"/>
      <c r="M69" s="3"/>
      <c r="Q69" s="3"/>
      <c r="R69" s="3"/>
      <c r="S69" s="1"/>
      <c r="T69" s="4"/>
      <c r="U69" s="258"/>
      <c r="V69" s="258"/>
      <c r="W69" s="256"/>
      <c r="X69" s="257"/>
      <c r="Y69" s="174"/>
      <c r="AA69" s="3"/>
      <c r="AB69" s="4"/>
    </row>
    <row r="70" ht="15.75" customHeight="1">
      <c r="B70" s="1"/>
      <c r="C70" s="3"/>
      <c r="D70" s="3"/>
      <c r="E70" s="4"/>
      <c r="I70" s="3"/>
      <c r="J70" s="3"/>
      <c r="K70" s="3"/>
      <c r="L70" s="3"/>
      <c r="M70" s="3"/>
      <c r="Q70" s="3"/>
      <c r="R70" s="3"/>
      <c r="S70" s="1"/>
      <c r="T70" s="4"/>
      <c r="U70" s="258"/>
      <c r="V70" s="258"/>
      <c r="W70" s="256"/>
      <c r="X70" s="257"/>
      <c r="Y70" s="174"/>
      <c r="AA70" s="3"/>
      <c r="AB70" s="4"/>
    </row>
    <row r="71" ht="15.75" customHeight="1">
      <c r="B71" s="1"/>
      <c r="C71" s="3"/>
      <c r="D71" s="3"/>
      <c r="E71" s="4"/>
      <c r="I71" s="3"/>
      <c r="J71" s="3"/>
      <c r="K71" s="3"/>
      <c r="L71" s="3"/>
      <c r="M71" s="3"/>
      <c r="Q71" s="3"/>
      <c r="R71" s="3"/>
      <c r="S71" s="1"/>
      <c r="T71" s="4"/>
      <c r="U71" s="258"/>
      <c r="V71" s="258"/>
      <c r="W71" s="256"/>
      <c r="X71" s="257"/>
      <c r="Y71" s="174"/>
      <c r="AA71" s="3"/>
      <c r="AB71" s="4"/>
    </row>
    <row r="72" ht="15.75" customHeight="1">
      <c r="B72" s="1"/>
      <c r="C72" s="3"/>
      <c r="D72" s="3"/>
      <c r="E72" s="4"/>
      <c r="I72" s="3"/>
      <c r="J72" s="3"/>
      <c r="K72" s="3"/>
      <c r="L72" s="3"/>
      <c r="M72" s="3"/>
      <c r="Q72" s="3"/>
      <c r="R72" s="3"/>
      <c r="S72" s="1"/>
      <c r="T72" s="4"/>
      <c r="U72" s="258"/>
      <c r="V72" s="258"/>
      <c r="W72" s="256"/>
      <c r="X72" s="257"/>
      <c r="Y72" s="174"/>
      <c r="AA72" s="3"/>
      <c r="AB72" s="4"/>
    </row>
    <row r="73" ht="15.75" customHeight="1">
      <c r="B73" s="1"/>
      <c r="C73" s="3"/>
      <c r="D73" s="3"/>
      <c r="E73" s="4"/>
      <c r="I73" s="3"/>
      <c r="J73" s="3"/>
      <c r="K73" s="3"/>
      <c r="L73" s="3"/>
      <c r="M73" s="3"/>
      <c r="Q73" s="3"/>
      <c r="R73" s="3"/>
      <c r="S73" s="1"/>
      <c r="T73" s="4"/>
      <c r="U73" s="258"/>
      <c r="V73" s="258"/>
      <c r="W73" s="256"/>
      <c r="X73" s="257"/>
      <c r="Y73" s="174"/>
      <c r="AA73" s="3"/>
      <c r="AB73" s="4"/>
    </row>
    <row r="74" ht="15.75" customHeight="1">
      <c r="B74" s="174"/>
      <c r="I74" s="3"/>
      <c r="J74" s="3"/>
      <c r="K74" s="3"/>
      <c r="L74" s="3"/>
      <c r="M74" s="3"/>
      <c r="Q74" s="3"/>
      <c r="R74" s="3"/>
      <c r="S74" s="1"/>
      <c r="T74" s="4"/>
      <c r="U74" s="258"/>
      <c r="V74" s="258"/>
      <c r="W74" s="256"/>
      <c r="X74" s="257"/>
      <c r="Y74" s="174"/>
      <c r="AA74" s="3"/>
      <c r="AB74" s="4"/>
    </row>
    <row r="75" ht="15.75" customHeight="1">
      <c r="B75" s="174"/>
      <c r="I75" s="3"/>
      <c r="J75" s="3"/>
      <c r="K75" s="3"/>
      <c r="L75" s="3"/>
      <c r="M75" s="3"/>
      <c r="Q75" s="3"/>
      <c r="R75" s="3"/>
      <c r="S75" s="1"/>
      <c r="T75" s="4"/>
      <c r="U75" s="258"/>
      <c r="V75" s="258"/>
      <c r="W75" s="256"/>
      <c r="X75" s="257"/>
      <c r="Y75" s="174"/>
      <c r="AA75" s="3"/>
      <c r="AB75" s="4"/>
    </row>
    <row r="76" ht="15.75" customHeight="1">
      <c r="B76" s="174"/>
      <c r="I76" s="3"/>
      <c r="J76" s="3"/>
      <c r="K76" s="3"/>
      <c r="L76" s="3"/>
      <c r="M76" s="3"/>
      <c r="Q76" s="3"/>
      <c r="R76" s="3"/>
      <c r="S76" s="1"/>
      <c r="T76" s="4"/>
      <c r="U76" s="258"/>
      <c r="V76" s="258"/>
      <c r="W76" s="256"/>
      <c r="X76" s="257"/>
      <c r="Y76" s="174"/>
      <c r="AA76" s="3"/>
      <c r="AB76" s="4"/>
    </row>
    <row r="77" ht="15.75" customHeight="1">
      <c r="I77" s="3"/>
      <c r="J77" s="3"/>
      <c r="K77" s="3"/>
      <c r="L77" s="3"/>
      <c r="M77" s="3"/>
      <c r="Q77" s="3"/>
      <c r="R77" s="3"/>
      <c r="S77" s="1"/>
      <c r="T77" s="3"/>
      <c r="U77" s="255"/>
      <c r="V77" s="255"/>
      <c r="W77" s="256"/>
      <c r="X77" s="257"/>
      <c r="Y77" s="257"/>
    </row>
    <row r="78" ht="15.75" customHeight="1">
      <c r="I78" s="3"/>
      <c r="J78" s="3"/>
      <c r="K78" s="3"/>
      <c r="L78" s="3"/>
      <c r="M78" s="3"/>
      <c r="Q78" s="3"/>
      <c r="R78" s="3"/>
      <c r="S78" s="1"/>
      <c r="T78" s="3"/>
      <c r="U78" s="255"/>
      <c r="V78" s="255"/>
      <c r="W78" s="256"/>
      <c r="X78" s="257"/>
      <c r="Y78" s="257"/>
    </row>
    <row r="79" ht="15.75" customHeight="1">
      <c r="I79" s="3"/>
      <c r="J79" s="3"/>
      <c r="K79" s="3"/>
      <c r="L79" s="3"/>
      <c r="M79" s="3"/>
      <c r="Q79" s="3"/>
      <c r="R79" s="3"/>
      <c r="S79" s="1"/>
      <c r="T79" s="3"/>
      <c r="U79" s="255"/>
      <c r="V79" s="255"/>
      <c r="W79" s="256"/>
      <c r="X79" s="257"/>
      <c r="Y79" s="257"/>
    </row>
    <row r="80" ht="15.75" customHeight="1">
      <c r="I80" s="3"/>
      <c r="J80" s="3"/>
      <c r="K80" s="3"/>
      <c r="L80" s="3"/>
      <c r="M80" s="3"/>
      <c r="Q80" s="3"/>
      <c r="R80" s="3"/>
      <c r="S80" s="1"/>
      <c r="T80" s="3"/>
      <c r="U80" s="255"/>
      <c r="V80" s="255"/>
      <c r="W80" s="256"/>
      <c r="X80" s="257"/>
      <c r="Y80" s="257"/>
    </row>
    <row r="81" ht="15.75" customHeight="1">
      <c r="I81" s="3"/>
      <c r="J81" s="3"/>
      <c r="K81" s="3"/>
      <c r="L81" s="3"/>
      <c r="M81" s="3"/>
      <c r="Q81" s="3"/>
      <c r="R81" s="3"/>
      <c r="S81" s="1"/>
      <c r="T81" s="3"/>
      <c r="U81" s="255"/>
      <c r="V81" s="255"/>
      <c r="W81" s="256"/>
      <c r="X81" s="257"/>
      <c r="Y81" s="257"/>
    </row>
    <row r="82" ht="15.75" customHeight="1">
      <c r="I82" s="3"/>
      <c r="J82" s="3"/>
      <c r="K82" s="3"/>
      <c r="L82" s="3"/>
      <c r="M82" s="3"/>
      <c r="Q82" s="3"/>
      <c r="R82" s="3"/>
      <c r="S82" s="1"/>
      <c r="T82" s="3"/>
      <c r="U82" s="255"/>
      <c r="V82" s="255"/>
      <c r="W82" s="256"/>
      <c r="X82" s="257"/>
      <c r="Y82" s="257"/>
    </row>
    <row r="83" ht="15.75" customHeight="1">
      <c r="I83" s="3"/>
      <c r="J83" s="3"/>
      <c r="K83" s="3"/>
      <c r="L83" s="3"/>
      <c r="M83" s="3"/>
      <c r="Q83" s="3"/>
      <c r="R83" s="3"/>
      <c r="S83" s="1"/>
      <c r="T83" s="3"/>
      <c r="U83" s="255"/>
      <c r="V83" s="255"/>
      <c r="W83" s="256"/>
      <c r="X83" s="257"/>
      <c r="Y83" s="257"/>
    </row>
    <row r="84" ht="15.75" customHeight="1">
      <c r="I84" s="3"/>
      <c r="J84" s="3"/>
      <c r="K84" s="3"/>
      <c r="L84" s="3"/>
      <c r="M84" s="3"/>
      <c r="Q84" s="3"/>
      <c r="R84" s="3"/>
      <c r="S84" s="1"/>
      <c r="T84" s="3"/>
      <c r="U84" s="255"/>
      <c r="V84" s="255"/>
      <c r="W84" s="256"/>
      <c r="X84" s="257"/>
      <c r="Y84" s="257"/>
    </row>
    <row r="85" ht="15.75" customHeight="1">
      <c r="I85" s="3"/>
      <c r="J85" s="3"/>
      <c r="K85" s="3"/>
      <c r="L85" s="3"/>
      <c r="M85" s="3"/>
      <c r="Q85" s="3"/>
      <c r="R85" s="3"/>
      <c r="S85" s="1"/>
      <c r="T85" s="3"/>
      <c r="U85" s="255"/>
      <c r="V85" s="255"/>
      <c r="W85" s="256"/>
      <c r="X85" s="257"/>
      <c r="Y85" s="257"/>
    </row>
    <row r="86" ht="15.75" customHeight="1">
      <c r="I86" s="3"/>
      <c r="J86" s="3"/>
      <c r="K86" s="3"/>
      <c r="L86" s="3"/>
      <c r="M86" s="3"/>
      <c r="Q86" s="3"/>
      <c r="R86" s="3"/>
      <c r="S86" s="1"/>
      <c r="T86" s="3"/>
      <c r="U86" s="255"/>
      <c r="V86" s="255"/>
      <c r="W86" s="256"/>
      <c r="X86" s="257"/>
      <c r="Y86" s="257"/>
    </row>
    <row r="87" ht="15.75" customHeight="1">
      <c r="I87" s="3"/>
      <c r="J87" s="3"/>
      <c r="K87" s="3"/>
      <c r="L87" s="3"/>
      <c r="M87" s="3"/>
      <c r="Q87" s="3"/>
      <c r="R87" s="3"/>
      <c r="S87" s="1"/>
      <c r="T87" s="3"/>
      <c r="U87" s="255"/>
      <c r="V87" s="255"/>
      <c r="W87" s="256"/>
      <c r="X87" s="257"/>
      <c r="Y87" s="257"/>
    </row>
    <row r="88" ht="15.75" customHeight="1">
      <c r="I88" s="3"/>
      <c r="J88" s="3"/>
      <c r="K88" s="3"/>
      <c r="L88" s="3"/>
      <c r="M88" s="3"/>
      <c r="Q88" s="3"/>
      <c r="R88" s="3"/>
      <c r="S88" s="1"/>
      <c r="T88" s="3"/>
      <c r="U88" s="255"/>
      <c r="V88" s="255"/>
      <c r="W88" s="256"/>
      <c r="X88" s="257"/>
      <c r="Y88" s="257"/>
    </row>
    <row r="89" ht="15.75" customHeight="1">
      <c r="I89" s="3"/>
      <c r="J89" s="3"/>
      <c r="K89" s="3"/>
      <c r="L89" s="3"/>
      <c r="M89" s="3"/>
      <c r="Q89" s="3"/>
      <c r="R89" s="3"/>
      <c r="S89" s="1"/>
      <c r="T89" s="3"/>
      <c r="U89" s="255"/>
      <c r="V89" s="255"/>
      <c r="W89" s="256"/>
      <c r="X89" s="257"/>
      <c r="Y89" s="257"/>
    </row>
    <row r="90" ht="15.75" customHeight="1">
      <c r="I90" s="3"/>
      <c r="J90" s="3"/>
      <c r="K90" s="3"/>
      <c r="L90" s="3"/>
      <c r="M90" s="3"/>
      <c r="Q90" s="3"/>
      <c r="R90" s="3"/>
      <c r="S90" s="1"/>
      <c r="T90" s="3"/>
      <c r="U90" s="255"/>
      <c r="V90" s="255"/>
      <c r="W90" s="256"/>
      <c r="X90" s="257"/>
      <c r="Y90" s="257"/>
    </row>
    <row r="91" ht="15.75" customHeight="1">
      <c r="I91" s="3"/>
      <c r="J91" s="3"/>
      <c r="K91" s="3"/>
      <c r="L91" s="3"/>
      <c r="M91" s="3"/>
      <c r="Q91" s="3"/>
      <c r="R91" s="3"/>
      <c r="S91" s="1"/>
      <c r="T91" s="3"/>
      <c r="U91" s="255"/>
      <c r="V91" s="255"/>
      <c r="W91" s="256"/>
      <c r="X91" s="257"/>
      <c r="Y91" s="257"/>
    </row>
    <row r="92" ht="15.75" customHeight="1">
      <c r="I92" s="3"/>
      <c r="J92" s="3"/>
      <c r="K92" s="3"/>
      <c r="L92" s="3"/>
      <c r="M92" s="3"/>
      <c r="Q92" s="3"/>
      <c r="R92" s="3"/>
      <c r="S92" s="1"/>
      <c r="T92" s="3"/>
      <c r="U92" s="255"/>
      <c r="V92" s="255"/>
      <c r="W92" s="256"/>
      <c r="X92" s="257"/>
      <c r="Y92" s="257"/>
    </row>
    <row r="93" ht="15.75" customHeight="1">
      <c r="I93" s="3"/>
      <c r="J93" s="3"/>
      <c r="K93" s="3"/>
      <c r="L93" s="3"/>
      <c r="M93" s="3"/>
      <c r="Q93" s="3"/>
      <c r="R93" s="3"/>
      <c r="S93" s="1"/>
      <c r="T93" s="3"/>
      <c r="U93" s="255"/>
      <c r="V93" s="255"/>
      <c r="W93" s="256"/>
      <c r="X93" s="257"/>
      <c r="Y93" s="257"/>
    </row>
    <row r="94" ht="15.75" customHeight="1">
      <c r="I94" s="3"/>
      <c r="J94" s="3"/>
      <c r="K94" s="3"/>
      <c r="L94" s="3"/>
      <c r="M94" s="3"/>
      <c r="Q94" s="3"/>
      <c r="R94" s="3"/>
      <c r="S94" s="1"/>
      <c r="T94" s="3"/>
      <c r="U94" s="255"/>
      <c r="V94" s="255"/>
      <c r="W94" s="256"/>
      <c r="X94" s="257"/>
      <c r="Y94" s="257"/>
    </row>
    <row r="95" ht="15.75" customHeight="1">
      <c r="I95" s="3"/>
      <c r="J95" s="3"/>
      <c r="K95" s="3"/>
      <c r="L95" s="3"/>
      <c r="M95" s="3"/>
      <c r="Q95" s="3"/>
      <c r="R95" s="3"/>
      <c r="S95" s="1"/>
      <c r="T95" s="3"/>
      <c r="U95" s="255"/>
      <c r="V95" s="255"/>
      <c r="W95" s="256"/>
      <c r="X95" s="257"/>
      <c r="Y95" s="257"/>
    </row>
    <row r="96" ht="15.75" customHeight="1">
      <c r="I96" s="3"/>
      <c r="J96" s="3"/>
      <c r="K96" s="3"/>
      <c r="L96" s="3"/>
      <c r="M96" s="3"/>
      <c r="Q96" s="3"/>
      <c r="R96" s="3"/>
      <c r="S96" s="1"/>
      <c r="T96" s="3"/>
      <c r="U96" s="255"/>
      <c r="V96" s="255"/>
      <c r="W96" s="256"/>
      <c r="X96" s="257"/>
      <c r="Y96" s="257"/>
    </row>
    <row r="97" ht="15.75" customHeight="1">
      <c r="I97" s="3"/>
      <c r="J97" s="3"/>
      <c r="K97" s="3"/>
      <c r="L97" s="3"/>
      <c r="M97" s="3"/>
      <c r="Q97" s="3"/>
      <c r="R97" s="3"/>
      <c r="S97" s="1"/>
      <c r="T97" s="3"/>
      <c r="U97" s="255"/>
      <c r="V97" s="255"/>
      <c r="W97" s="256"/>
      <c r="X97" s="257"/>
      <c r="Y97" s="257"/>
    </row>
    <row r="98" ht="15.75" customHeight="1">
      <c r="I98" s="3"/>
      <c r="J98" s="3"/>
      <c r="K98" s="3"/>
      <c r="L98" s="3"/>
      <c r="M98" s="3"/>
      <c r="Q98" s="3"/>
      <c r="R98" s="3"/>
      <c r="S98" s="1"/>
      <c r="T98" s="3"/>
      <c r="U98" s="255"/>
      <c r="V98" s="255"/>
      <c r="W98" s="256"/>
      <c r="X98" s="257"/>
      <c r="Y98" s="257"/>
    </row>
    <row r="99" ht="15.75" customHeight="1">
      <c r="I99" s="3"/>
      <c r="J99" s="3"/>
      <c r="K99" s="3"/>
      <c r="L99" s="3"/>
      <c r="M99" s="3"/>
      <c r="Q99" s="3"/>
      <c r="R99" s="3"/>
      <c r="S99" s="1"/>
      <c r="T99" s="3"/>
      <c r="U99" s="255"/>
      <c r="V99" s="255"/>
      <c r="W99" s="256"/>
      <c r="X99" s="257"/>
      <c r="Y99" s="257"/>
    </row>
    <row r="100" ht="15.75" customHeight="1">
      <c r="I100" s="3"/>
      <c r="J100" s="3"/>
      <c r="K100" s="3"/>
      <c r="L100" s="3"/>
      <c r="M100" s="3"/>
      <c r="Q100" s="3"/>
      <c r="R100" s="3"/>
      <c r="S100" s="1"/>
      <c r="T100" s="3"/>
      <c r="U100" s="255"/>
      <c r="V100" s="255"/>
      <c r="W100" s="256"/>
      <c r="X100" s="257"/>
      <c r="Y100" s="257"/>
    </row>
    <row r="101" ht="15.75" customHeight="1">
      <c r="I101" s="3"/>
      <c r="J101" s="3"/>
      <c r="K101" s="3"/>
      <c r="L101" s="3"/>
      <c r="M101" s="3"/>
      <c r="Q101" s="3"/>
      <c r="R101" s="3"/>
      <c r="S101" s="1"/>
      <c r="T101" s="3"/>
      <c r="U101" s="255"/>
      <c r="V101" s="255"/>
      <c r="W101" s="256"/>
      <c r="X101" s="257"/>
      <c r="Y101" s="257"/>
    </row>
    <row r="102" ht="15.75" customHeight="1">
      <c r="I102" s="3"/>
      <c r="J102" s="3"/>
      <c r="K102" s="3"/>
      <c r="L102" s="3"/>
      <c r="M102" s="3"/>
      <c r="Q102" s="3"/>
      <c r="R102" s="3"/>
      <c r="S102" s="1"/>
      <c r="T102" s="3"/>
      <c r="U102" s="255"/>
      <c r="V102" s="255"/>
      <c r="W102" s="256"/>
      <c r="X102" s="257"/>
      <c r="Y102" s="257"/>
    </row>
    <row r="103" ht="15.75" customHeight="1">
      <c r="I103" s="3"/>
      <c r="J103" s="3"/>
      <c r="K103" s="3"/>
      <c r="L103" s="3"/>
      <c r="M103" s="3"/>
      <c r="Q103" s="3"/>
      <c r="R103" s="3"/>
      <c r="S103" s="1"/>
      <c r="T103" s="3"/>
      <c r="U103" s="255"/>
      <c r="V103" s="255"/>
      <c r="W103" s="256"/>
      <c r="X103" s="257"/>
      <c r="Y103" s="257"/>
    </row>
    <row r="104" ht="15.75" customHeight="1">
      <c r="I104" s="3"/>
      <c r="J104" s="3"/>
      <c r="K104" s="3"/>
      <c r="L104" s="3"/>
      <c r="M104" s="3"/>
      <c r="Q104" s="3"/>
      <c r="R104" s="3"/>
      <c r="S104" s="1"/>
      <c r="T104" s="3"/>
      <c r="U104" s="255"/>
      <c r="V104" s="255"/>
      <c r="W104" s="256"/>
      <c r="X104" s="257"/>
      <c r="Y104" s="257"/>
    </row>
    <row r="105" ht="15.75" customHeight="1">
      <c r="I105" s="3"/>
      <c r="J105" s="3"/>
      <c r="K105" s="3"/>
      <c r="L105" s="3"/>
      <c r="M105" s="3"/>
      <c r="Q105" s="3"/>
      <c r="R105" s="3"/>
      <c r="S105" s="1"/>
      <c r="T105" s="3"/>
      <c r="U105" s="255"/>
      <c r="V105" s="255"/>
      <c r="W105" s="256"/>
      <c r="X105" s="257"/>
      <c r="Y105" s="257"/>
    </row>
    <row r="106" ht="15.75" customHeight="1">
      <c r="I106" s="3"/>
      <c r="J106" s="3"/>
      <c r="K106" s="3"/>
      <c r="L106" s="3"/>
      <c r="M106" s="3"/>
      <c r="Q106" s="3"/>
      <c r="R106" s="3"/>
      <c r="S106" s="1"/>
      <c r="T106" s="3"/>
      <c r="U106" s="255"/>
      <c r="V106" s="255"/>
      <c r="W106" s="256"/>
      <c r="X106" s="257"/>
      <c r="Y106" s="257"/>
    </row>
    <row r="107" ht="15.75" customHeight="1">
      <c r="I107" s="3"/>
      <c r="J107" s="3"/>
      <c r="K107" s="3"/>
      <c r="L107" s="3"/>
      <c r="M107" s="3"/>
      <c r="Q107" s="3"/>
      <c r="R107" s="3"/>
      <c r="S107" s="1"/>
      <c r="T107" s="3"/>
      <c r="U107" s="255"/>
      <c r="V107" s="255"/>
      <c r="W107" s="256"/>
      <c r="X107" s="257"/>
      <c r="Y107" s="257"/>
    </row>
    <row r="108" ht="15.75" customHeight="1">
      <c r="I108" s="3"/>
      <c r="J108" s="3"/>
      <c r="K108" s="3"/>
      <c r="L108" s="3"/>
      <c r="M108" s="3"/>
      <c r="Q108" s="3"/>
      <c r="R108" s="3"/>
      <c r="S108" s="1"/>
      <c r="T108" s="3"/>
      <c r="U108" s="255"/>
      <c r="V108" s="255"/>
      <c r="W108" s="256"/>
      <c r="X108" s="257"/>
      <c r="Y108" s="257"/>
    </row>
    <row r="109" ht="15.75" customHeight="1">
      <c r="I109" s="3"/>
      <c r="J109" s="3"/>
      <c r="K109" s="3"/>
      <c r="L109" s="3"/>
      <c r="M109" s="3"/>
      <c r="Q109" s="3"/>
      <c r="R109" s="3"/>
      <c r="S109" s="1"/>
      <c r="T109" s="3"/>
      <c r="U109" s="255"/>
      <c r="V109" s="255"/>
      <c r="W109" s="256"/>
      <c r="X109" s="257"/>
      <c r="Y109" s="257"/>
    </row>
    <row r="110" ht="15.75" customHeight="1">
      <c r="I110" s="3"/>
      <c r="J110" s="3"/>
      <c r="K110" s="3"/>
      <c r="L110" s="3"/>
      <c r="M110" s="3"/>
      <c r="Q110" s="3"/>
      <c r="R110" s="3"/>
      <c r="S110" s="1"/>
      <c r="T110" s="3"/>
      <c r="U110" s="255"/>
      <c r="V110" s="255"/>
      <c r="W110" s="256"/>
      <c r="X110" s="257"/>
      <c r="Y110" s="257"/>
    </row>
    <row r="111" ht="15.75" customHeight="1">
      <c r="I111" s="3"/>
      <c r="J111" s="3"/>
      <c r="K111" s="3"/>
      <c r="L111" s="3"/>
      <c r="M111" s="3"/>
      <c r="Q111" s="3"/>
      <c r="R111" s="3"/>
      <c r="S111" s="1"/>
      <c r="T111" s="3"/>
      <c r="U111" s="255"/>
      <c r="V111" s="255"/>
      <c r="W111" s="256"/>
      <c r="X111" s="257"/>
      <c r="Y111" s="257"/>
    </row>
    <row r="112" ht="15.75" customHeight="1">
      <c r="I112" s="3"/>
      <c r="J112" s="3"/>
      <c r="K112" s="3"/>
      <c r="L112" s="3"/>
      <c r="M112" s="3"/>
      <c r="Q112" s="3"/>
      <c r="R112" s="3"/>
      <c r="S112" s="1"/>
      <c r="T112" s="3"/>
      <c r="U112" s="255"/>
      <c r="V112" s="255"/>
      <c r="W112" s="256"/>
      <c r="X112" s="257"/>
      <c r="Y112" s="257"/>
    </row>
    <row r="113" ht="15.75" customHeight="1">
      <c r="I113" s="3"/>
      <c r="J113" s="3"/>
      <c r="K113" s="3"/>
      <c r="L113" s="3"/>
      <c r="M113" s="3"/>
      <c r="Q113" s="3"/>
      <c r="R113" s="3"/>
      <c r="S113" s="1"/>
      <c r="T113" s="3"/>
      <c r="U113" s="255"/>
      <c r="V113" s="255"/>
      <c r="W113" s="256"/>
      <c r="X113" s="257"/>
      <c r="Y113" s="257"/>
    </row>
    <row r="114" ht="15.75" customHeight="1">
      <c r="I114" s="3"/>
      <c r="J114" s="3"/>
      <c r="K114" s="3"/>
      <c r="L114" s="3"/>
      <c r="M114" s="3"/>
      <c r="Q114" s="3"/>
      <c r="R114" s="3"/>
      <c r="S114" s="1"/>
      <c r="T114" s="3"/>
      <c r="U114" s="255"/>
      <c r="V114" s="255"/>
      <c r="W114" s="256"/>
      <c r="X114" s="257"/>
      <c r="Y114" s="257"/>
    </row>
    <row r="115" ht="15.75" customHeight="1">
      <c r="I115" s="3"/>
      <c r="J115" s="3"/>
      <c r="K115" s="3"/>
      <c r="L115" s="3"/>
      <c r="M115" s="3"/>
      <c r="Q115" s="3"/>
      <c r="R115" s="3"/>
      <c r="S115" s="1"/>
      <c r="T115" s="3"/>
      <c r="U115" s="255"/>
      <c r="V115" s="255"/>
      <c r="W115" s="256"/>
      <c r="X115" s="257"/>
      <c r="Y115" s="257"/>
    </row>
    <row r="116" ht="15.75" customHeight="1">
      <c r="I116" s="3"/>
      <c r="J116" s="3"/>
      <c r="K116" s="3"/>
      <c r="L116" s="3"/>
      <c r="M116" s="3"/>
      <c r="Q116" s="3"/>
      <c r="R116" s="3"/>
      <c r="S116" s="1"/>
      <c r="T116" s="3"/>
      <c r="U116" s="255"/>
      <c r="V116" s="255"/>
      <c r="W116" s="256"/>
      <c r="X116" s="257"/>
      <c r="Y116" s="257"/>
    </row>
    <row r="117" ht="15.75" customHeight="1">
      <c r="I117" s="3"/>
      <c r="J117" s="3"/>
      <c r="K117" s="3"/>
      <c r="L117" s="3"/>
      <c r="M117" s="3"/>
      <c r="Q117" s="3"/>
      <c r="R117" s="3"/>
      <c r="S117" s="1"/>
      <c r="T117" s="3"/>
      <c r="U117" s="255"/>
      <c r="V117" s="255"/>
      <c r="W117" s="256"/>
      <c r="X117" s="257"/>
      <c r="Y117" s="257"/>
    </row>
    <row r="118" ht="15.75" customHeight="1">
      <c r="I118" s="3"/>
      <c r="J118" s="3"/>
      <c r="K118" s="3"/>
      <c r="L118" s="3"/>
      <c r="M118" s="3"/>
      <c r="Q118" s="3"/>
      <c r="R118" s="3"/>
      <c r="S118" s="1"/>
      <c r="T118" s="3"/>
      <c r="U118" s="255"/>
      <c r="V118" s="255"/>
      <c r="W118" s="256"/>
      <c r="X118" s="257"/>
      <c r="Y118" s="257"/>
    </row>
    <row r="119" ht="15.75" customHeight="1">
      <c r="I119" s="3"/>
      <c r="J119" s="3"/>
      <c r="K119" s="3"/>
      <c r="L119" s="3"/>
      <c r="M119" s="3"/>
      <c r="Q119" s="3"/>
      <c r="R119" s="3"/>
      <c r="S119" s="1"/>
      <c r="T119" s="3"/>
      <c r="U119" s="255"/>
      <c r="V119" s="255"/>
      <c r="W119" s="256"/>
      <c r="X119" s="257"/>
      <c r="Y119" s="257"/>
    </row>
    <row r="120" ht="15.75" customHeight="1">
      <c r="I120" s="3"/>
      <c r="J120" s="3"/>
      <c r="K120" s="3"/>
      <c r="L120" s="3"/>
      <c r="M120" s="3"/>
      <c r="Q120" s="3"/>
      <c r="R120" s="3"/>
      <c r="S120" s="1"/>
      <c r="T120" s="3"/>
      <c r="U120" s="255"/>
      <c r="V120" s="255"/>
      <c r="W120" s="256"/>
      <c r="X120" s="257"/>
      <c r="Y120" s="257"/>
    </row>
    <row r="121" ht="15.75" customHeight="1">
      <c r="I121" s="3"/>
      <c r="J121" s="3"/>
      <c r="K121" s="3"/>
      <c r="L121" s="3"/>
      <c r="M121" s="3"/>
      <c r="Q121" s="3"/>
      <c r="R121" s="3"/>
      <c r="S121" s="1"/>
      <c r="T121" s="3"/>
      <c r="U121" s="255"/>
      <c r="V121" s="255"/>
      <c r="W121" s="256"/>
      <c r="X121" s="257"/>
      <c r="Y121" s="257"/>
    </row>
    <row r="122" ht="15.75" customHeight="1">
      <c r="I122" s="3"/>
      <c r="J122" s="3"/>
      <c r="K122" s="3"/>
      <c r="L122" s="3"/>
      <c r="M122" s="3"/>
      <c r="Q122" s="3"/>
      <c r="R122" s="3"/>
      <c r="S122" s="1"/>
      <c r="T122" s="3"/>
      <c r="U122" s="255"/>
      <c r="V122" s="255"/>
      <c r="W122" s="256"/>
      <c r="X122" s="257"/>
      <c r="Y122" s="257"/>
    </row>
    <row r="123" ht="15.75" customHeight="1">
      <c r="I123" s="3"/>
      <c r="J123" s="3"/>
      <c r="K123" s="3"/>
      <c r="L123" s="3"/>
      <c r="M123" s="3"/>
      <c r="Q123" s="3"/>
      <c r="R123" s="3"/>
      <c r="S123" s="1"/>
      <c r="T123" s="3"/>
      <c r="U123" s="255"/>
      <c r="V123" s="255"/>
      <c r="W123" s="256"/>
      <c r="X123" s="257"/>
      <c r="Y123" s="257"/>
    </row>
    <row r="124" ht="15.75" customHeight="1">
      <c r="I124" s="3"/>
      <c r="J124" s="3"/>
      <c r="K124" s="3"/>
      <c r="L124" s="3"/>
      <c r="M124" s="3"/>
      <c r="Q124" s="3"/>
      <c r="R124" s="3"/>
      <c r="S124" s="1"/>
      <c r="T124" s="3"/>
      <c r="U124" s="255"/>
      <c r="V124" s="255"/>
      <c r="W124" s="256"/>
      <c r="X124" s="257"/>
      <c r="Y124" s="257"/>
    </row>
    <row r="125" ht="15.75" customHeight="1">
      <c r="I125" s="3"/>
      <c r="J125" s="3"/>
      <c r="K125" s="3"/>
      <c r="L125" s="3"/>
      <c r="M125" s="3"/>
      <c r="Q125" s="3"/>
      <c r="R125" s="3"/>
      <c r="S125" s="1"/>
      <c r="T125" s="3"/>
      <c r="U125" s="255"/>
      <c r="V125" s="255"/>
      <c r="W125" s="256"/>
      <c r="X125" s="257"/>
      <c r="Y125" s="257"/>
    </row>
    <row r="126" ht="15.75" customHeight="1">
      <c r="I126" s="3"/>
      <c r="J126" s="3"/>
      <c r="K126" s="3"/>
      <c r="L126" s="3"/>
      <c r="M126" s="3"/>
      <c r="Q126" s="3"/>
      <c r="R126" s="3"/>
      <c r="S126" s="1"/>
      <c r="T126" s="3"/>
      <c r="U126" s="255"/>
      <c r="V126" s="255"/>
      <c r="W126" s="256"/>
      <c r="X126" s="257"/>
      <c r="Y126" s="257"/>
    </row>
    <row r="127" ht="15.75" customHeight="1">
      <c r="I127" s="3"/>
      <c r="J127" s="3"/>
      <c r="K127" s="3"/>
      <c r="L127" s="3"/>
      <c r="M127" s="3"/>
      <c r="Q127" s="3"/>
      <c r="R127" s="3"/>
      <c r="S127" s="1"/>
      <c r="T127" s="3"/>
      <c r="U127" s="255"/>
      <c r="V127" s="255"/>
      <c r="W127" s="256"/>
      <c r="X127" s="257"/>
      <c r="Y127" s="257"/>
    </row>
    <row r="128" ht="15.75" customHeight="1">
      <c r="I128" s="3"/>
      <c r="J128" s="3"/>
      <c r="K128" s="3"/>
      <c r="L128" s="3"/>
      <c r="M128" s="3"/>
      <c r="Q128" s="3"/>
      <c r="R128" s="3"/>
      <c r="S128" s="1"/>
      <c r="T128" s="3"/>
      <c r="U128" s="255"/>
      <c r="V128" s="255"/>
      <c r="W128" s="256"/>
      <c r="X128" s="257"/>
      <c r="Y128" s="257"/>
    </row>
    <row r="129" ht="15.75" customHeight="1">
      <c r="I129" s="3"/>
      <c r="J129" s="3"/>
      <c r="K129" s="3"/>
      <c r="L129" s="3"/>
      <c r="M129" s="3"/>
      <c r="Q129" s="3"/>
      <c r="R129" s="3"/>
      <c r="S129" s="1"/>
      <c r="T129" s="3"/>
      <c r="U129" s="255"/>
      <c r="V129" s="255"/>
      <c r="W129" s="256"/>
      <c r="X129" s="257"/>
      <c r="Y129" s="257"/>
    </row>
    <row r="130" ht="15.75" customHeight="1">
      <c r="I130" s="3"/>
      <c r="J130" s="3"/>
      <c r="K130" s="3"/>
      <c r="L130" s="3"/>
      <c r="M130" s="3"/>
      <c r="Q130" s="3"/>
      <c r="R130" s="3"/>
      <c r="S130" s="1"/>
      <c r="T130" s="3"/>
      <c r="U130" s="255"/>
      <c r="V130" s="255"/>
      <c r="W130" s="256"/>
      <c r="X130" s="257"/>
      <c r="Y130" s="257"/>
    </row>
    <row r="131" ht="15.75" customHeight="1">
      <c r="I131" s="3"/>
      <c r="J131" s="3"/>
      <c r="K131" s="3"/>
      <c r="L131" s="3"/>
      <c r="M131" s="3"/>
      <c r="Q131" s="3"/>
      <c r="R131" s="3"/>
      <c r="S131" s="1"/>
      <c r="T131" s="3"/>
      <c r="U131" s="255"/>
      <c r="V131" s="255"/>
      <c r="W131" s="256"/>
      <c r="X131" s="257"/>
      <c r="Y131" s="257"/>
    </row>
    <row r="132" ht="15.75" customHeight="1">
      <c r="I132" s="3"/>
      <c r="J132" s="3"/>
      <c r="K132" s="3"/>
      <c r="L132" s="3"/>
      <c r="M132" s="3"/>
      <c r="Q132" s="3"/>
      <c r="R132" s="3"/>
      <c r="S132" s="1"/>
      <c r="T132" s="3"/>
      <c r="U132" s="255"/>
      <c r="V132" s="255"/>
      <c r="W132" s="256"/>
      <c r="X132" s="257"/>
      <c r="Y132" s="257"/>
    </row>
    <row r="133" ht="15.75" customHeight="1">
      <c r="I133" s="3"/>
      <c r="J133" s="3"/>
      <c r="K133" s="3"/>
      <c r="L133" s="3"/>
      <c r="M133" s="3"/>
      <c r="Q133" s="3"/>
      <c r="R133" s="3"/>
      <c r="S133" s="1"/>
      <c r="T133" s="3"/>
      <c r="U133" s="255"/>
      <c r="V133" s="255"/>
      <c r="W133" s="256"/>
      <c r="X133" s="257"/>
      <c r="Y133" s="257"/>
    </row>
    <row r="134" ht="15.75" customHeight="1">
      <c r="I134" s="3"/>
      <c r="J134" s="3"/>
      <c r="K134" s="3"/>
      <c r="L134" s="3"/>
      <c r="M134" s="3"/>
      <c r="Q134" s="3"/>
      <c r="R134" s="3"/>
      <c r="S134" s="1"/>
      <c r="T134" s="3"/>
      <c r="U134" s="255"/>
      <c r="V134" s="255"/>
      <c r="W134" s="256"/>
      <c r="X134" s="257"/>
      <c r="Y134" s="257"/>
    </row>
    <row r="135" ht="15.75" customHeight="1">
      <c r="I135" s="3"/>
      <c r="J135" s="3"/>
      <c r="K135" s="3"/>
      <c r="L135" s="3"/>
      <c r="M135" s="3"/>
      <c r="Q135" s="3"/>
      <c r="R135" s="3"/>
      <c r="S135" s="1"/>
      <c r="T135" s="3"/>
      <c r="U135" s="255"/>
      <c r="V135" s="255"/>
      <c r="W135" s="256"/>
      <c r="X135" s="257"/>
      <c r="Y135" s="257"/>
    </row>
    <row r="136" ht="15.75" customHeight="1">
      <c r="I136" s="3"/>
      <c r="J136" s="3"/>
      <c r="K136" s="3"/>
      <c r="L136" s="3"/>
      <c r="M136" s="3"/>
      <c r="Q136" s="3"/>
      <c r="R136" s="3"/>
      <c r="S136" s="1"/>
      <c r="T136" s="3"/>
      <c r="U136" s="255"/>
      <c r="V136" s="255"/>
      <c r="W136" s="256"/>
      <c r="X136" s="257"/>
      <c r="Y136" s="257"/>
    </row>
    <row r="137" ht="15.75" customHeight="1">
      <c r="I137" s="3"/>
      <c r="J137" s="3"/>
      <c r="K137" s="3"/>
      <c r="L137" s="3"/>
      <c r="M137" s="3"/>
      <c r="Q137" s="3"/>
      <c r="R137" s="3"/>
      <c r="S137" s="1"/>
      <c r="T137" s="3"/>
      <c r="U137" s="255"/>
      <c r="V137" s="255"/>
      <c r="W137" s="256"/>
      <c r="X137" s="257"/>
      <c r="Y137" s="257"/>
    </row>
    <row r="138" ht="15.75" customHeight="1">
      <c r="I138" s="3"/>
      <c r="J138" s="3"/>
      <c r="K138" s="3"/>
      <c r="L138" s="3"/>
      <c r="M138" s="3"/>
      <c r="Q138" s="3"/>
      <c r="R138" s="3"/>
      <c r="S138" s="1"/>
      <c r="T138" s="3"/>
      <c r="U138" s="255"/>
      <c r="V138" s="255"/>
      <c r="W138" s="256"/>
      <c r="X138" s="257"/>
      <c r="Y138" s="257"/>
    </row>
    <row r="139" ht="15.75" customHeight="1">
      <c r="I139" s="3"/>
      <c r="J139" s="3"/>
      <c r="K139" s="3"/>
      <c r="L139" s="3"/>
      <c r="M139" s="3"/>
      <c r="Q139" s="3"/>
      <c r="R139" s="3"/>
      <c r="S139" s="1"/>
      <c r="T139" s="3"/>
      <c r="U139" s="255"/>
      <c r="V139" s="255"/>
      <c r="W139" s="256"/>
      <c r="X139" s="257"/>
      <c r="Y139" s="257"/>
    </row>
    <row r="140" ht="15.75" customHeight="1">
      <c r="I140" s="3"/>
      <c r="J140" s="3"/>
      <c r="K140" s="3"/>
      <c r="L140" s="3"/>
      <c r="M140" s="3"/>
      <c r="Q140" s="3"/>
      <c r="R140" s="3"/>
      <c r="S140" s="1"/>
      <c r="T140" s="3"/>
      <c r="U140" s="255"/>
      <c r="V140" s="255"/>
      <c r="W140" s="256"/>
      <c r="X140" s="257"/>
      <c r="Y140" s="257"/>
    </row>
    <row r="141" ht="15.75" customHeight="1">
      <c r="I141" s="3"/>
      <c r="J141" s="3"/>
      <c r="K141" s="3"/>
      <c r="L141" s="3"/>
      <c r="M141" s="3"/>
      <c r="Q141" s="3"/>
      <c r="R141" s="3"/>
      <c r="S141" s="1"/>
      <c r="T141" s="3"/>
      <c r="U141" s="255"/>
      <c r="V141" s="255"/>
      <c r="W141" s="256"/>
      <c r="X141" s="257"/>
      <c r="Y141" s="257"/>
    </row>
    <row r="142" ht="15.75" customHeight="1">
      <c r="I142" s="3"/>
      <c r="J142" s="3"/>
      <c r="K142" s="3"/>
      <c r="L142" s="3"/>
      <c r="M142" s="3"/>
      <c r="Q142" s="3"/>
      <c r="R142" s="3"/>
      <c r="S142" s="1"/>
      <c r="T142" s="3"/>
      <c r="U142" s="255"/>
      <c r="V142" s="255"/>
      <c r="W142" s="256"/>
      <c r="X142" s="257"/>
      <c r="Y142" s="257"/>
    </row>
    <row r="143" ht="15.75" customHeight="1">
      <c r="I143" s="3"/>
      <c r="J143" s="3"/>
      <c r="K143" s="3"/>
      <c r="L143" s="3"/>
      <c r="M143" s="3"/>
      <c r="Q143" s="3"/>
      <c r="R143" s="3"/>
      <c r="S143" s="1"/>
      <c r="T143" s="3"/>
      <c r="U143" s="255"/>
      <c r="V143" s="255"/>
      <c r="W143" s="256"/>
      <c r="X143" s="257"/>
      <c r="Y143" s="257"/>
    </row>
    <row r="144" ht="15.75" customHeight="1">
      <c r="I144" s="3"/>
      <c r="J144" s="3"/>
      <c r="K144" s="3"/>
      <c r="L144" s="3"/>
      <c r="M144" s="3"/>
      <c r="Q144" s="3"/>
      <c r="R144" s="3"/>
      <c r="S144" s="1"/>
      <c r="T144" s="3"/>
      <c r="U144" s="255"/>
      <c r="V144" s="255"/>
      <c r="W144" s="256"/>
      <c r="X144" s="257"/>
      <c r="Y144" s="257"/>
    </row>
    <row r="145" ht="15.75" customHeight="1">
      <c r="I145" s="3"/>
      <c r="J145" s="3"/>
      <c r="K145" s="3"/>
      <c r="L145" s="3"/>
      <c r="M145" s="3"/>
      <c r="Q145" s="3"/>
      <c r="R145" s="3"/>
      <c r="S145" s="1"/>
      <c r="T145" s="3"/>
      <c r="U145" s="255"/>
      <c r="V145" s="255"/>
      <c r="W145" s="256"/>
      <c r="X145" s="257"/>
      <c r="Y145" s="257"/>
    </row>
    <row r="146" ht="15.75" customHeight="1">
      <c r="I146" s="3"/>
      <c r="J146" s="3"/>
      <c r="K146" s="3"/>
      <c r="L146" s="3"/>
      <c r="M146" s="3"/>
      <c r="Q146" s="3"/>
      <c r="R146" s="3"/>
      <c r="S146" s="1"/>
      <c r="T146" s="3"/>
      <c r="U146" s="255"/>
      <c r="V146" s="255"/>
      <c r="W146" s="256"/>
      <c r="X146" s="257"/>
      <c r="Y146" s="257"/>
    </row>
    <row r="147" ht="15.75" customHeight="1">
      <c r="I147" s="3"/>
      <c r="J147" s="3"/>
      <c r="K147" s="3"/>
      <c r="L147" s="3"/>
      <c r="M147" s="3"/>
      <c r="Q147" s="3"/>
      <c r="R147" s="3"/>
      <c r="S147" s="1"/>
      <c r="T147" s="3"/>
      <c r="U147" s="255"/>
      <c r="V147" s="255"/>
      <c r="W147" s="256"/>
      <c r="X147" s="257"/>
      <c r="Y147" s="257"/>
    </row>
    <row r="148" ht="15.75" customHeight="1">
      <c r="I148" s="3"/>
      <c r="J148" s="3"/>
      <c r="K148" s="3"/>
      <c r="L148" s="3"/>
      <c r="M148" s="3"/>
      <c r="Q148" s="3"/>
      <c r="R148" s="3"/>
      <c r="S148" s="1"/>
      <c r="T148" s="3"/>
      <c r="U148" s="255"/>
      <c r="V148" s="255"/>
      <c r="W148" s="256"/>
      <c r="X148" s="257"/>
      <c r="Y148" s="257"/>
    </row>
    <row r="149" ht="15.75" customHeight="1">
      <c r="I149" s="3"/>
      <c r="J149" s="3"/>
      <c r="K149" s="3"/>
      <c r="L149" s="3"/>
      <c r="M149" s="3"/>
      <c r="Q149" s="3"/>
      <c r="R149" s="3"/>
      <c r="S149" s="1"/>
      <c r="T149" s="3"/>
      <c r="U149" s="255"/>
      <c r="V149" s="255"/>
      <c r="W149" s="256"/>
      <c r="X149" s="257"/>
      <c r="Y149" s="257"/>
    </row>
    <row r="150" ht="15.75" customHeight="1">
      <c r="I150" s="3"/>
      <c r="J150" s="3"/>
      <c r="K150" s="3"/>
      <c r="L150" s="3"/>
      <c r="M150" s="3"/>
      <c r="Q150" s="3"/>
      <c r="R150" s="3"/>
      <c r="S150" s="1"/>
      <c r="T150" s="3"/>
      <c r="U150" s="255"/>
      <c r="V150" s="255"/>
      <c r="W150" s="256"/>
      <c r="X150" s="257"/>
      <c r="Y150" s="257"/>
    </row>
    <row r="151" ht="15.75" customHeight="1">
      <c r="I151" s="3"/>
      <c r="J151" s="3"/>
      <c r="K151" s="3"/>
      <c r="L151" s="3"/>
      <c r="M151" s="3"/>
      <c r="Q151" s="3"/>
      <c r="R151" s="3"/>
      <c r="S151" s="1"/>
      <c r="T151" s="3"/>
      <c r="U151" s="255"/>
      <c r="V151" s="255"/>
      <c r="W151" s="256"/>
      <c r="X151" s="257"/>
      <c r="Y151" s="257"/>
    </row>
    <row r="152" ht="15.75" customHeight="1">
      <c r="I152" s="3"/>
      <c r="J152" s="3"/>
      <c r="K152" s="3"/>
      <c r="L152" s="3"/>
      <c r="M152" s="3"/>
      <c r="Q152" s="3"/>
      <c r="R152" s="3"/>
      <c r="S152" s="1"/>
      <c r="T152" s="3"/>
      <c r="U152" s="255"/>
      <c r="V152" s="255"/>
      <c r="W152" s="256"/>
      <c r="X152" s="257"/>
      <c r="Y152" s="257"/>
    </row>
    <row r="153" ht="15.75" customHeight="1">
      <c r="I153" s="3"/>
      <c r="J153" s="3"/>
      <c r="K153" s="3"/>
      <c r="L153" s="3"/>
      <c r="M153" s="3"/>
      <c r="Q153" s="3"/>
      <c r="R153" s="3"/>
      <c r="S153" s="1"/>
      <c r="T153" s="3"/>
      <c r="U153" s="255"/>
      <c r="V153" s="255"/>
      <c r="W153" s="256"/>
      <c r="X153" s="257"/>
      <c r="Y153" s="257"/>
    </row>
    <row r="154" ht="15.75" customHeight="1">
      <c r="I154" s="3"/>
      <c r="J154" s="3"/>
      <c r="K154" s="3"/>
      <c r="L154" s="3"/>
      <c r="M154" s="3"/>
      <c r="Q154" s="3"/>
      <c r="R154" s="3"/>
      <c r="S154" s="1"/>
      <c r="T154" s="3"/>
      <c r="U154" s="255"/>
      <c r="V154" s="255"/>
      <c r="W154" s="256"/>
      <c r="X154" s="257"/>
      <c r="Y154" s="257"/>
    </row>
    <row r="155" ht="15.75" customHeight="1">
      <c r="I155" s="3"/>
      <c r="J155" s="3"/>
      <c r="K155" s="3"/>
      <c r="L155" s="3"/>
      <c r="M155" s="3"/>
      <c r="Q155" s="3"/>
      <c r="R155" s="3"/>
      <c r="S155" s="1"/>
      <c r="T155" s="3"/>
      <c r="U155" s="255"/>
      <c r="V155" s="255"/>
      <c r="W155" s="256"/>
      <c r="X155" s="257"/>
      <c r="Y155" s="257"/>
    </row>
    <row r="156" ht="15.75" customHeight="1">
      <c r="I156" s="3"/>
      <c r="J156" s="3"/>
      <c r="K156" s="3"/>
      <c r="L156" s="3"/>
      <c r="M156" s="3"/>
      <c r="Q156" s="3"/>
      <c r="R156" s="3"/>
      <c r="S156" s="1"/>
      <c r="T156" s="3"/>
      <c r="U156" s="255"/>
      <c r="V156" s="255"/>
      <c r="W156" s="256"/>
      <c r="X156" s="257"/>
      <c r="Y156" s="257"/>
    </row>
    <row r="157" ht="15.75" customHeight="1">
      <c r="I157" s="3"/>
      <c r="J157" s="3"/>
      <c r="K157" s="3"/>
      <c r="L157" s="3"/>
      <c r="M157" s="3"/>
      <c r="Q157" s="3"/>
      <c r="R157" s="3"/>
      <c r="S157" s="1"/>
      <c r="T157" s="3"/>
      <c r="U157" s="255"/>
      <c r="V157" s="255"/>
      <c r="W157" s="256"/>
      <c r="X157" s="257"/>
      <c r="Y157" s="257"/>
    </row>
    <row r="158" ht="15.75" customHeight="1">
      <c r="I158" s="3"/>
      <c r="J158" s="3"/>
      <c r="K158" s="3"/>
      <c r="L158" s="3"/>
      <c r="M158" s="3"/>
      <c r="Q158" s="3"/>
      <c r="R158" s="3"/>
      <c r="S158" s="1"/>
      <c r="T158" s="3"/>
      <c r="U158" s="255"/>
      <c r="V158" s="255"/>
      <c r="W158" s="256"/>
      <c r="X158" s="257"/>
      <c r="Y158" s="257"/>
    </row>
    <row r="159" ht="15.75" customHeight="1">
      <c r="I159" s="3"/>
      <c r="J159" s="3"/>
      <c r="K159" s="3"/>
      <c r="L159" s="3"/>
      <c r="M159" s="3"/>
      <c r="Q159" s="3"/>
      <c r="R159" s="3"/>
      <c r="S159" s="1"/>
      <c r="T159" s="3"/>
      <c r="U159" s="255"/>
      <c r="V159" s="255"/>
      <c r="W159" s="256"/>
      <c r="X159" s="257"/>
      <c r="Y159" s="257"/>
    </row>
    <row r="160" ht="15.75" customHeight="1">
      <c r="I160" s="3"/>
      <c r="J160" s="3"/>
      <c r="K160" s="3"/>
      <c r="L160" s="3"/>
      <c r="M160" s="3"/>
      <c r="Q160" s="3"/>
      <c r="R160" s="3"/>
      <c r="S160" s="1"/>
      <c r="T160" s="3"/>
      <c r="U160" s="255"/>
      <c r="V160" s="255"/>
      <c r="W160" s="256"/>
      <c r="X160" s="257"/>
      <c r="Y160" s="257"/>
    </row>
    <row r="161" ht="15.75" customHeight="1">
      <c r="I161" s="3"/>
      <c r="J161" s="3"/>
      <c r="K161" s="3"/>
      <c r="L161" s="3"/>
      <c r="M161" s="3"/>
      <c r="Q161" s="3"/>
      <c r="R161" s="3"/>
      <c r="S161" s="1"/>
      <c r="T161" s="3"/>
      <c r="U161" s="255"/>
      <c r="V161" s="255"/>
      <c r="W161" s="256"/>
      <c r="X161" s="257"/>
      <c r="Y161" s="257"/>
    </row>
    <row r="162" ht="15.75" customHeight="1">
      <c r="I162" s="3"/>
      <c r="J162" s="3"/>
      <c r="K162" s="3"/>
      <c r="L162" s="3"/>
      <c r="M162" s="3"/>
      <c r="Q162" s="3"/>
      <c r="R162" s="3"/>
      <c r="S162" s="1"/>
      <c r="T162" s="3"/>
      <c r="U162" s="255"/>
      <c r="V162" s="255"/>
      <c r="W162" s="256"/>
      <c r="X162" s="257"/>
      <c r="Y162" s="257"/>
    </row>
    <row r="163" ht="15.75" customHeight="1">
      <c r="I163" s="3"/>
      <c r="J163" s="3"/>
      <c r="K163" s="3"/>
      <c r="L163" s="3"/>
      <c r="M163" s="3"/>
      <c r="Q163" s="3"/>
      <c r="R163" s="3"/>
      <c r="S163" s="1"/>
      <c r="T163" s="3"/>
      <c r="U163" s="255"/>
      <c r="V163" s="255"/>
      <c r="W163" s="256"/>
      <c r="X163" s="257"/>
      <c r="Y163" s="257"/>
    </row>
    <row r="164" ht="15.75" customHeight="1">
      <c r="I164" s="3"/>
      <c r="J164" s="3"/>
      <c r="K164" s="3"/>
      <c r="L164" s="3"/>
      <c r="M164" s="3"/>
      <c r="Q164" s="3"/>
      <c r="R164" s="3"/>
      <c r="S164" s="1"/>
      <c r="T164" s="3"/>
      <c r="U164" s="255"/>
      <c r="V164" s="255"/>
      <c r="W164" s="256"/>
      <c r="X164" s="257"/>
      <c r="Y164" s="257"/>
    </row>
    <row r="165" ht="15.75" customHeight="1">
      <c r="I165" s="3"/>
      <c r="J165" s="3"/>
      <c r="K165" s="3"/>
      <c r="L165" s="3"/>
      <c r="M165" s="3"/>
      <c r="Q165" s="3"/>
      <c r="R165" s="3"/>
      <c r="S165" s="1"/>
      <c r="T165" s="3"/>
      <c r="U165" s="255"/>
      <c r="V165" s="255"/>
      <c r="W165" s="256"/>
      <c r="X165" s="257"/>
      <c r="Y165" s="257"/>
    </row>
    <row r="166" ht="15.75" customHeight="1">
      <c r="I166" s="3"/>
      <c r="J166" s="3"/>
      <c r="K166" s="3"/>
      <c r="L166" s="3"/>
      <c r="M166" s="3"/>
      <c r="Q166" s="3"/>
      <c r="R166" s="3"/>
      <c r="S166" s="1"/>
      <c r="T166" s="3"/>
      <c r="U166" s="255"/>
      <c r="V166" s="255"/>
      <c r="W166" s="256"/>
      <c r="X166" s="257"/>
      <c r="Y166" s="257"/>
    </row>
    <row r="167" ht="15.75" customHeight="1">
      <c r="I167" s="3"/>
      <c r="J167" s="3"/>
      <c r="K167" s="3"/>
      <c r="L167" s="3"/>
      <c r="M167" s="3"/>
      <c r="Q167" s="3"/>
      <c r="R167" s="3"/>
      <c r="S167" s="1"/>
      <c r="T167" s="3"/>
      <c r="U167" s="255"/>
      <c r="V167" s="255"/>
      <c r="W167" s="256"/>
      <c r="X167" s="257"/>
      <c r="Y167" s="257"/>
    </row>
    <row r="168" ht="15.75" customHeight="1">
      <c r="I168" s="3"/>
      <c r="J168" s="3"/>
      <c r="K168" s="3"/>
      <c r="L168" s="3"/>
      <c r="M168" s="3"/>
      <c r="Q168" s="3"/>
      <c r="R168" s="3"/>
      <c r="S168" s="1"/>
      <c r="T168" s="3"/>
      <c r="U168" s="255"/>
      <c r="V168" s="255"/>
      <c r="W168" s="256"/>
      <c r="X168" s="257"/>
      <c r="Y168" s="257"/>
    </row>
    <row r="169" ht="15.75" customHeight="1">
      <c r="I169" s="3"/>
      <c r="J169" s="3"/>
      <c r="K169" s="3"/>
      <c r="L169" s="3"/>
      <c r="M169" s="3"/>
      <c r="Q169" s="3"/>
      <c r="R169" s="3"/>
      <c r="S169" s="1"/>
      <c r="T169" s="3"/>
      <c r="U169" s="255"/>
      <c r="V169" s="255"/>
      <c r="W169" s="256"/>
      <c r="X169" s="257"/>
      <c r="Y169" s="257"/>
    </row>
    <row r="170" ht="15.75" customHeight="1">
      <c r="I170" s="3"/>
      <c r="J170" s="3"/>
      <c r="K170" s="3"/>
      <c r="L170" s="3"/>
      <c r="M170" s="3"/>
      <c r="Q170" s="3"/>
      <c r="R170" s="3"/>
      <c r="S170" s="1"/>
      <c r="T170" s="3"/>
      <c r="U170" s="255"/>
      <c r="V170" s="255"/>
      <c r="W170" s="256"/>
      <c r="X170" s="257"/>
      <c r="Y170" s="257"/>
    </row>
    <row r="171" ht="15.75" customHeight="1">
      <c r="I171" s="3"/>
      <c r="J171" s="3"/>
      <c r="K171" s="3"/>
      <c r="L171" s="3"/>
      <c r="M171" s="3"/>
      <c r="Q171" s="3"/>
      <c r="R171" s="3"/>
      <c r="S171" s="1"/>
      <c r="T171" s="3"/>
      <c r="U171" s="255"/>
      <c r="V171" s="255"/>
      <c r="W171" s="256"/>
      <c r="X171" s="257"/>
      <c r="Y171" s="257"/>
    </row>
    <row r="172" ht="15.75" customHeight="1">
      <c r="I172" s="3"/>
      <c r="J172" s="3"/>
      <c r="K172" s="3"/>
      <c r="L172" s="3"/>
      <c r="M172" s="3"/>
      <c r="Q172" s="3"/>
      <c r="R172" s="3"/>
      <c r="S172" s="1"/>
      <c r="T172" s="3"/>
      <c r="U172" s="255"/>
      <c r="V172" s="255"/>
      <c r="W172" s="256"/>
      <c r="X172" s="257"/>
      <c r="Y172" s="257"/>
    </row>
    <row r="173" ht="15.75" customHeight="1">
      <c r="I173" s="3"/>
      <c r="J173" s="3"/>
      <c r="K173" s="3"/>
      <c r="L173" s="3"/>
      <c r="M173" s="3"/>
      <c r="Q173" s="3"/>
      <c r="R173" s="3"/>
      <c r="S173" s="1"/>
      <c r="T173" s="3"/>
      <c r="U173" s="255"/>
      <c r="V173" s="255"/>
      <c r="W173" s="256"/>
      <c r="X173" s="257"/>
      <c r="Y173" s="257"/>
    </row>
    <row r="174" ht="15.75" customHeight="1">
      <c r="I174" s="3"/>
      <c r="J174" s="3"/>
      <c r="K174" s="3"/>
      <c r="L174" s="3"/>
      <c r="M174" s="3"/>
      <c r="Q174" s="3"/>
      <c r="R174" s="3"/>
      <c r="S174" s="1"/>
      <c r="T174" s="3"/>
      <c r="U174" s="255"/>
      <c r="V174" s="255"/>
      <c r="W174" s="256"/>
      <c r="X174" s="257"/>
      <c r="Y174" s="257"/>
    </row>
    <row r="175" ht="15.75" customHeight="1">
      <c r="I175" s="3"/>
      <c r="J175" s="3"/>
      <c r="K175" s="3"/>
      <c r="L175" s="3"/>
      <c r="M175" s="3"/>
      <c r="Q175" s="3"/>
      <c r="R175" s="3"/>
      <c r="S175" s="1"/>
      <c r="T175" s="3"/>
      <c r="U175" s="255"/>
      <c r="V175" s="255"/>
      <c r="W175" s="256"/>
      <c r="X175" s="257"/>
      <c r="Y175" s="257"/>
    </row>
    <row r="176" ht="15.75" customHeight="1">
      <c r="I176" s="3"/>
      <c r="J176" s="3"/>
      <c r="K176" s="3"/>
      <c r="L176" s="3"/>
      <c r="M176" s="3"/>
      <c r="Q176" s="3"/>
      <c r="R176" s="3"/>
      <c r="S176" s="1"/>
      <c r="T176" s="3"/>
      <c r="U176" s="255"/>
      <c r="V176" s="255"/>
      <c r="W176" s="256"/>
      <c r="X176" s="257"/>
      <c r="Y176" s="257"/>
    </row>
    <row r="177" ht="15.75" customHeight="1">
      <c r="I177" s="3"/>
      <c r="J177" s="3"/>
      <c r="K177" s="3"/>
      <c r="L177" s="3"/>
      <c r="M177" s="3"/>
      <c r="Q177" s="3"/>
      <c r="R177" s="3"/>
      <c r="S177" s="1"/>
      <c r="T177" s="3"/>
      <c r="U177" s="255"/>
      <c r="V177" s="255"/>
      <c r="W177" s="256"/>
      <c r="X177" s="257"/>
      <c r="Y177" s="257"/>
    </row>
    <row r="178" ht="15.75" customHeight="1">
      <c r="I178" s="3"/>
      <c r="J178" s="3"/>
      <c r="K178" s="3"/>
      <c r="L178" s="3"/>
      <c r="M178" s="3"/>
      <c r="Q178" s="3"/>
      <c r="R178" s="3"/>
      <c r="S178" s="1"/>
      <c r="T178" s="3"/>
      <c r="U178" s="255"/>
      <c r="V178" s="255"/>
      <c r="W178" s="256"/>
      <c r="X178" s="257"/>
      <c r="Y178" s="257"/>
    </row>
    <row r="179" ht="15.75" customHeight="1">
      <c r="I179" s="3"/>
      <c r="J179" s="3"/>
      <c r="K179" s="3"/>
      <c r="L179" s="3"/>
      <c r="M179" s="3"/>
      <c r="Q179" s="3"/>
      <c r="R179" s="3"/>
      <c r="S179" s="1"/>
      <c r="T179" s="3"/>
      <c r="U179" s="255"/>
      <c r="V179" s="255"/>
      <c r="W179" s="256"/>
      <c r="X179" s="257"/>
      <c r="Y179" s="257"/>
    </row>
    <row r="180" ht="15.75" customHeight="1">
      <c r="I180" s="3"/>
      <c r="J180" s="3"/>
      <c r="K180" s="3"/>
      <c r="L180" s="3"/>
      <c r="M180" s="3"/>
      <c r="Q180" s="3"/>
      <c r="R180" s="3"/>
      <c r="S180" s="1"/>
      <c r="T180" s="3"/>
      <c r="U180" s="255"/>
      <c r="V180" s="255"/>
      <c r="W180" s="256"/>
      <c r="X180" s="257"/>
      <c r="Y180" s="257"/>
    </row>
    <row r="181" ht="15.75" customHeight="1">
      <c r="I181" s="3"/>
      <c r="J181" s="3"/>
      <c r="K181" s="3"/>
      <c r="L181" s="3"/>
      <c r="M181" s="3"/>
      <c r="Q181" s="3"/>
      <c r="R181" s="3"/>
      <c r="S181" s="1"/>
      <c r="T181" s="3"/>
      <c r="U181" s="255"/>
      <c r="V181" s="255"/>
      <c r="W181" s="256"/>
      <c r="X181" s="257"/>
      <c r="Y181" s="257"/>
    </row>
    <row r="182" ht="15.75" customHeight="1">
      <c r="I182" s="3"/>
      <c r="J182" s="3"/>
      <c r="K182" s="3"/>
      <c r="L182" s="3"/>
      <c r="M182" s="3"/>
      <c r="Q182" s="3"/>
      <c r="R182" s="3"/>
      <c r="S182" s="1"/>
      <c r="T182" s="3"/>
      <c r="U182" s="255"/>
      <c r="V182" s="255"/>
      <c r="W182" s="256"/>
      <c r="X182" s="257"/>
      <c r="Y182" s="257"/>
    </row>
    <row r="183" ht="15.75" customHeight="1">
      <c r="I183" s="3"/>
      <c r="J183" s="3"/>
      <c r="K183" s="3"/>
      <c r="L183" s="3"/>
      <c r="M183" s="3"/>
      <c r="Q183" s="3"/>
      <c r="R183" s="3"/>
      <c r="S183" s="1"/>
      <c r="T183" s="3"/>
      <c r="U183" s="255"/>
      <c r="V183" s="255"/>
      <c r="W183" s="256"/>
      <c r="X183" s="257"/>
      <c r="Y183" s="257"/>
    </row>
    <row r="184" ht="15.75" customHeight="1">
      <c r="I184" s="3"/>
      <c r="J184" s="3"/>
      <c r="K184" s="3"/>
      <c r="L184" s="3"/>
      <c r="M184" s="3"/>
      <c r="Q184" s="3"/>
      <c r="R184" s="3"/>
      <c r="S184" s="1"/>
      <c r="T184" s="3"/>
      <c r="U184" s="255"/>
      <c r="V184" s="255"/>
      <c r="W184" s="256"/>
      <c r="X184" s="257"/>
      <c r="Y184" s="257"/>
    </row>
    <row r="185" ht="15.75" customHeight="1">
      <c r="I185" s="3"/>
      <c r="J185" s="3"/>
      <c r="K185" s="3"/>
      <c r="L185" s="3"/>
      <c r="M185" s="3"/>
      <c r="Q185" s="3"/>
      <c r="R185" s="3"/>
      <c r="S185" s="1"/>
      <c r="T185" s="3"/>
      <c r="U185" s="255"/>
      <c r="V185" s="255"/>
      <c r="W185" s="256"/>
      <c r="X185" s="257"/>
      <c r="Y185" s="257"/>
    </row>
    <row r="186" ht="15.75" customHeight="1">
      <c r="I186" s="3"/>
      <c r="J186" s="3"/>
      <c r="K186" s="3"/>
      <c r="L186" s="3"/>
      <c r="M186" s="3"/>
      <c r="Q186" s="3"/>
      <c r="R186" s="3"/>
      <c r="S186" s="1"/>
      <c r="T186" s="3"/>
      <c r="U186" s="255"/>
      <c r="V186" s="255"/>
      <c r="W186" s="256"/>
      <c r="X186" s="257"/>
      <c r="Y186" s="257"/>
    </row>
    <row r="187" ht="15.75" customHeight="1">
      <c r="I187" s="3"/>
      <c r="J187" s="3"/>
      <c r="K187" s="3"/>
      <c r="L187" s="3"/>
      <c r="M187" s="3"/>
      <c r="Q187" s="3"/>
      <c r="R187" s="3"/>
      <c r="S187" s="1"/>
      <c r="T187" s="3"/>
      <c r="U187" s="255"/>
      <c r="V187" s="255"/>
      <c r="W187" s="256"/>
      <c r="X187" s="257"/>
      <c r="Y187" s="257"/>
    </row>
    <row r="188" ht="15.75" customHeight="1">
      <c r="I188" s="3"/>
      <c r="J188" s="3"/>
      <c r="K188" s="3"/>
      <c r="L188" s="3"/>
      <c r="M188" s="3"/>
      <c r="Q188" s="3"/>
      <c r="R188" s="3"/>
      <c r="S188" s="1"/>
      <c r="T188" s="3"/>
      <c r="U188" s="255"/>
      <c r="V188" s="255"/>
      <c r="W188" s="256"/>
      <c r="X188" s="257"/>
      <c r="Y188" s="257"/>
    </row>
    <row r="189" ht="15.75" customHeight="1">
      <c r="I189" s="3"/>
      <c r="J189" s="3"/>
      <c r="K189" s="3"/>
      <c r="L189" s="3"/>
      <c r="M189" s="3"/>
      <c r="Q189" s="3"/>
      <c r="R189" s="3"/>
      <c r="S189" s="1"/>
      <c r="T189" s="3"/>
      <c r="U189" s="255"/>
      <c r="V189" s="255"/>
      <c r="W189" s="256"/>
      <c r="X189" s="257"/>
      <c r="Y189" s="257"/>
    </row>
    <row r="190" ht="15.75" customHeight="1">
      <c r="I190" s="3"/>
      <c r="J190" s="3"/>
      <c r="K190" s="3"/>
      <c r="L190" s="3"/>
      <c r="M190" s="3"/>
      <c r="Q190" s="3"/>
      <c r="R190" s="3"/>
      <c r="S190" s="1"/>
      <c r="T190" s="3"/>
      <c r="U190" s="255"/>
      <c r="V190" s="255"/>
      <c r="W190" s="256"/>
      <c r="X190" s="257"/>
      <c r="Y190" s="257"/>
    </row>
    <row r="191" ht="15.75" customHeight="1">
      <c r="I191" s="3"/>
      <c r="J191" s="3"/>
      <c r="K191" s="3"/>
      <c r="L191" s="3"/>
      <c r="M191" s="3"/>
      <c r="Q191" s="3"/>
      <c r="R191" s="3"/>
      <c r="S191" s="1"/>
      <c r="T191" s="3"/>
      <c r="U191" s="255"/>
      <c r="V191" s="255"/>
      <c r="W191" s="256"/>
      <c r="X191" s="257"/>
      <c r="Y191" s="257"/>
    </row>
    <row r="192" ht="15.75" customHeight="1">
      <c r="I192" s="3"/>
      <c r="J192" s="3"/>
      <c r="K192" s="3"/>
      <c r="L192" s="3"/>
      <c r="M192" s="3"/>
      <c r="Q192" s="3"/>
      <c r="R192" s="3"/>
      <c r="S192" s="1"/>
      <c r="T192" s="3"/>
      <c r="U192" s="255"/>
      <c r="V192" s="255"/>
      <c r="W192" s="256"/>
      <c r="X192" s="257"/>
      <c r="Y192" s="257"/>
    </row>
    <row r="193" ht="15.75" customHeight="1">
      <c r="I193" s="3"/>
      <c r="J193" s="3"/>
      <c r="K193" s="3"/>
      <c r="L193" s="3"/>
      <c r="M193" s="3"/>
      <c r="Q193" s="3"/>
      <c r="R193" s="3"/>
      <c r="S193" s="1"/>
      <c r="T193" s="3"/>
      <c r="U193" s="255"/>
      <c r="V193" s="255"/>
      <c r="W193" s="256"/>
      <c r="X193" s="257"/>
      <c r="Y193" s="257"/>
    </row>
    <row r="194" ht="15.75" customHeight="1">
      <c r="I194" s="3"/>
      <c r="J194" s="3"/>
      <c r="K194" s="3"/>
      <c r="L194" s="3"/>
      <c r="M194" s="3"/>
      <c r="Q194" s="3"/>
      <c r="R194" s="3"/>
      <c r="S194" s="1"/>
      <c r="T194" s="3"/>
      <c r="U194" s="255"/>
      <c r="V194" s="255"/>
      <c r="W194" s="256"/>
      <c r="X194" s="257"/>
      <c r="Y194" s="257"/>
    </row>
    <row r="195" ht="15.75" customHeight="1">
      <c r="I195" s="3"/>
      <c r="J195" s="3"/>
      <c r="K195" s="3"/>
      <c r="L195" s="3"/>
      <c r="M195" s="3"/>
      <c r="Q195" s="3"/>
      <c r="R195" s="3"/>
      <c r="S195" s="1"/>
      <c r="T195" s="3"/>
      <c r="U195" s="255"/>
      <c r="V195" s="255"/>
      <c r="W195" s="256"/>
      <c r="X195" s="257"/>
      <c r="Y195" s="257"/>
    </row>
    <row r="196" ht="15.75" customHeight="1">
      <c r="I196" s="3"/>
      <c r="J196" s="3"/>
      <c r="K196" s="3"/>
      <c r="L196" s="3"/>
      <c r="M196" s="3"/>
      <c r="Q196" s="3"/>
      <c r="R196" s="3"/>
      <c r="S196" s="1"/>
      <c r="T196" s="3"/>
      <c r="U196" s="255"/>
      <c r="V196" s="255"/>
      <c r="W196" s="256"/>
      <c r="X196" s="257"/>
      <c r="Y196" s="257"/>
    </row>
    <row r="197" ht="15.75" customHeight="1">
      <c r="I197" s="3"/>
      <c r="J197" s="3"/>
      <c r="K197" s="3"/>
      <c r="L197" s="3"/>
      <c r="M197" s="3"/>
      <c r="Q197" s="3"/>
      <c r="R197" s="3"/>
      <c r="S197" s="1"/>
      <c r="T197" s="3"/>
      <c r="U197" s="255"/>
      <c r="V197" s="255"/>
      <c r="W197" s="256"/>
      <c r="X197" s="257"/>
      <c r="Y197" s="257"/>
    </row>
    <row r="198" ht="15.75" customHeight="1">
      <c r="I198" s="3"/>
      <c r="J198" s="3"/>
      <c r="K198" s="3"/>
      <c r="L198" s="3"/>
      <c r="M198" s="3"/>
      <c r="Q198" s="3"/>
      <c r="R198" s="3"/>
      <c r="S198" s="1"/>
      <c r="T198" s="3"/>
      <c r="U198" s="255"/>
      <c r="V198" s="255"/>
      <c r="W198" s="256"/>
      <c r="X198" s="257"/>
      <c r="Y198" s="257"/>
    </row>
    <row r="199" ht="15.75" customHeight="1">
      <c r="I199" s="3"/>
      <c r="J199" s="3"/>
      <c r="K199" s="3"/>
      <c r="L199" s="3"/>
      <c r="M199" s="3"/>
      <c r="Q199" s="3"/>
      <c r="R199" s="3"/>
      <c r="S199" s="1"/>
      <c r="T199" s="3"/>
      <c r="U199" s="255"/>
      <c r="V199" s="255"/>
      <c r="W199" s="256"/>
      <c r="X199" s="257"/>
      <c r="Y199" s="257"/>
    </row>
    <row r="200" ht="15.75" customHeight="1">
      <c r="I200" s="3"/>
      <c r="J200" s="3"/>
      <c r="K200" s="3"/>
      <c r="L200" s="3"/>
      <c r="M200" s="3"/>
      <c r="Q200" s="3"/>
      <c r="R200" s="3"/>
      <c r="S200" s="1"/>
      <c r="T200" s="3"/>
      <c r="U200" s="255"/>
      <c r="V200" s="255"/>
      <c r="W200" s="256"/>
      <c r="X200" s="257"/>
      <c r="Y200" s="257"/>
    </row>
    <row r="201" ht="15.75" customHeight="1">
      <c r="I201" s="3"/>
      <c r="J201" s="3"/>
      <c r="K201" s="3"/>
      <c r="L201" s="3"/>
      <c r="M201" s="3"/>
      <c r="Q201" s="3"/>
      <c r="R201" s="3"/>
      <c r="S201" s="1"/>
      <c r="T201" s="3"/>
      <c r="U201" s="255"/>
      <c r="V201" s="255"/>
      <c r="W201" s="256"/>
      <c r="X201" s="257"/>
      <c r="Y201" s="257"/>
    </row>
    <row r="202" ht="15.75" customHeight="1">
      <c r="I202" s="3"/>
      <c r="J202" s="3"/>
      <c r="K202" s="3"/>
      <c r="L202" s="3"/>
      <c r="M202" s="3"/>
      <c r="Q202" s="3"/>
      <c r="R202" s="3"/>
      <c r="S202" s="1"/>
      <c r="T202" s="3"/>
      <c r="U202" s="255"/>
      <c r="V202" s="255"/>
      <c r="W202" s="256"/>
      <c r="X202" s="257"/>
      <c r="Y202" s="257"/>
    </row>
    <row r="203" ht="15.75" customHeight="1">
      <c r="I203" s="3"/>
      <c r="J203" s="3"/>
      <c r="K203" s="3"/>
      <c r="L203" s="3"/>
      <c r="M203" s="3"/>
      <c r="Q203" s="3"/>
      <c r="R203" s="3"/>
      <c r="S203" s="1"/>
      <c r="T203" s="3"/>
      <c r="U203" s="255"/>
      <c r="V203" s="255"/>
      <c r="W203" s="256"/>
      <c r="X203" s="257"/>
      <c r="Y203" s="257"/>
    </row>
    <row r="204" ht="15.75" customHeight="1">
      <c r="I204" s="3"/>
      <c r="J204" s="3"/>
      <c r="K204" s="3"/>
      <c r="L204" s="3"/>
      <c r="M204" s="3"/>
      <c r="Q204" s="3"/>
      <c r="R204" s="3"/>
      <c r="S204" s="1"/>
      <c r="T204" s="3"/>
      <c r="U204" s="255"/>
      <c r="V204" s="255"/>
      <c r="W204" s="256"/>
      <c r="X204" s="257"/>
      <c r="Y204" s="257"/>
    </row>
    <row r="205" ht="15.75" customHeight="1">
      <c r="I205" s="3"/>
      <c r="J205" s="3"/>
      <c r="K205" s="3"/>
      <c r="L205" s="3"/>
      <c r="M205" s="3"/>
      <c r="Q205" s="3"/>
      <c r="R205" s="3"/>
      <c r="S205" s="1"/>
      <c r="T205" s="3"/>
      <c r="U205" s="255"/>
      <c r="V205" s="255"/>
      <c r="W205" s="256"/>
      <c r="X205" s="257"/>
      <c r="Y205" s="257"/>
    </row>
    <row r="206" ht="15.75" customHeight="1">
      <c r="I206" s="3"/>
      <c r="J206" s="3"/>
      <c r="K206" s="3"/>
      <c r="L206" s="3"/>
      <c r="M206" s="3"/>
      <c r="Q206" s="3"/>
      <c r="R206" s="3"/>
      <c r="S206" s="1"/>
      <c r="T206" s="3"/>
      <c r="U206" s="255"/>
      <c r="V206" s="255"/>
      <c r="W206" s="256"/>
      <c r="X206" s="257"/>
      <c r="Y206" s="257"/>
    </row>
    <row r="207" ht="15.75" customHeight="1">
      <c r="I207" s="3"/>
      <c r="J207" s="3"/>
      <c r="K207" s="3"/>
      <c r="L207" s="3"/>
      <c r="M207" s="3"/>
      <c r="Q207" s="3"/>
      <c r="R207" s="3"/>
      <c r="S207" s="1"/>
      <c r="T207" s="3"/>
      <c r="U207" s="255"/>
      <c r="V207" s="255"/>
      <c r="W207" s="256"/>
      <c r="X207" s="257"/>
      <c r="Y207" s="257"/>
    </row>
    <row r="208" ht="15.75" customHeight="1">
      <c r="I208" s="3"/>
      <c r="J208" s="3"/>
      <c r="K208" s="3"/>
      <c r="L208" s="3"/>
      <c r="M208" s="3"/>
      <c r="Q208" s="3"/>
      <c r="R208" s="3"/>
      <c r="S208" s="1"/>
      <c r="T208" s="3"/>
      <c r="U208" s="255"/>
      <c r="V208" s="255"/>
      <c r="W208" s="256"/>
      <c r="X208" s="257"/>
      <c r="Y208" s="257"/>
    </row>
    <row r="209" ht="15.75" customHeight="1">
      <c r="I209" s="3"/>
      <c r="J209" s="3"/>
      <c r="K209" s="3"/>
      <c r="L209" s="3"/>
      <c r="M209" s="3"/>
      <c r="Q209" s="3"/>
      <c r="R209" s="3"/>
      <c r="S209" s="1"/>
      <c r="T209" s="3"/>
      <c r="U209" s="255"/>
      <c r="V209" s="255"/>
      <c r="W209" s="256"/>
      <c r="X209" s="257"/>
      <c r="Y209" s="257"/>
    </row>
    <row r="210" ht="15.75" customHeight="1">
      <c r="I210" s="3"/>
      <c r="J210" s="3"/>
      <c r="K210" s="3"/>
      <c r="L210" s="3"/>
      <c r="M210" s="3"/>
      <c r="Q210" s="3"/>
      <c r="R210" s="3"/>
      <c r="S210" s="1"/>
      <c r="T210" s="3"/>
      <c r="U210" s="255"/>
      <c r="V210" s="255"/>
      <c r="W210" s="256"/>
      <c r="X210" s="257"/>
      <c r="Y210" s="257"/>
    </row>
    <row r="211" ht="15.75" customHeight="1">
      <c r="I211" s="3"/>
      <c r="J211" s="3"/>
      <c r="K211" s="3"/>
      <c r="L211" s="3"/>
      <c r="M211" s="3"/>
      <c r="Q211" s="3"/>
      <c r="R211" s="3"/>
      <c r="S211" s="1"/>
      <c r="T211" s="3"/>
      <c r="U211" s="255"/>
      <c r="V211" s="255"/>
      <c r="W211" s="256"/>
      <c r="X211" s="257"/>
      <c r="Y211" s="257"/>
    </row>
    <row r="212" ht="15.75" customHeight="1">
      <c r="I212" s="3"/>
      <c r="J212" s="3"/>
      <c r="K212" s="3"/>
      <c r="L212" s="3"/>
      <c r="M212" s="3"/>
      <c r="Q212" s="3"/>
      <c r="R212" s="3"/>
      <c r="S212" s="1"/>
      <c r="T212" s="3"/>
      <c r="U212" s="255"/>
      <c r="V212" s="255"/>
      <c r="W212" s="256"/>
      <c r="X212" s="257"/>
      <c r="Y212" s="257"/>
    </row>
    <row r="213" ht="15.75" customHeight="1">
      <c r="I213" s="3"/>
      <c r="J213" s="3"/>
      <c r="K213" s="3"/>
      <c r="L213" s="3"/>
      <c r="M213" s="3"/>
      <c r="Q213" s="3"/>
      <c r="R213" s="3"/>
      <c r="S213" s="1"/>
      <c r="T213" s="3"/>
      <c r="U213" s="255"/>
      <c r="V213" s="255"/>
      <c r="W213" s="256"/>
      <c r="X213" s="257"/>
      <c r="Y213" s="257"/>
    </row>
    <row r="214" ht="15.75" customHeight="1">
      <c r="I214" s="3"/>
      <c r="J214" s="3"/>
      <c r="K214" s="3"/>
      <c r="L214" s="3"/>
      <c r="M214" s="3"/>
      <c r="Q214" s="3"/>
      <c r="R214" s="3"/>
      <c r="S214" s="1"/>
      <c r="T214" s="3"/>
      <c r="U214" s="255"/>
      <c r="V214" s="255"/>
      <c r="W214" s="256"/>
      <c r="X214" s="257"/>
      <c r="Y214" s="257"/>
    </row>
    <row r="215" ht="15.75" customHeight="1">
      <c r="I215" s="3"/>
      <c r="J215" s="3"/>
      <c r="K215" s="3"/>
      <c r="L215" s="3"/>
      <c r="M215" s="3"/>
      <c r="Q215" s="3"/>
      <c r="R215" s="3"/>
      <c r="S215" s="1"/>
      <c r="T215" s="3"/>
      <c r="U215" s="255"/>
      <c r="V215" s="255"/>
      <c r="W215" s="256"/>
      <c r="X215" s="257"/>
      <c r="Y215" s="257"/>
    </row>
    <row r="216" ht="15.75" customHeight="1">
      <c r="I216" s="3"/>
      <c r="J216" s="3"/>
      <c r="K216" s="3"/>
      <c r="L216" s="3"/>
      <c r="M216" s="3"/>
      <c r="Q216" s="3"/>
      <c r="R216" s="3"/>
      <c r="S216" s="1"/>
      <c r="T216" s="3"/>
      <c r="U216" s="255"/>
      <c r="V216" s="255"/>
      <c r="W216" s="256"/>
      <c r="X216" s="257"/>
      <c r="Y216" s="257"/>
    </row>
    <row r="217" ht="15.75" customHeight="1">
      <c r="I217" s="3"/>
      <c r="J217" s="3"/>
      <c r="K217" s="3"/>
      <c r="L217" s="3"/>
      <c r="M217" s="3"/>
      <c r="Q217" s="3"/>
      <c r="R217" s="3"/>
      <c r="S217" s="1"/>
      <c r="T217" s="3"/>
      <c r="U217" s="255"/>
      <c r="V217" s="255"/>
      <c r="W217" s="256"/>
      <c r="X217" s="257"/>
      <c r="Y217" s="257"/>
    </row>
    <row r="218" ht="15.75" customHeight="1">
      <c r="I218" s="3"/>
      <c r="J218" s="3"/>
      <c r="K218" s="3"/>
      <c r="L218" s="3"/>
      <c r="M218" s="3"/>
      <c r="Q218" s="3"/>
      <c r="R218" s="3"/>
      <c r="S218" s="1"/>
      <c r="T218" s="3"/>
      <c r="U218" s="255"/>
      <c r="V218" s="255"/>
      <c r="W218" s="256"/>
      <c r="X218" s="257"/>
      <c r="Y218" s="257"/>
    </row>
    <row r="219" ht="15.75" customHeight="1">
      <c r="I219" s="3"/>
      <c r="J219" s="3"/>
      <c r="K219" s="3"/>
      <c r="L219" s="3"/>
      <c r="M219" s="3"/>
      <c r="Q219" s="3"/>
      <c r="R219" s="3"/>
      <c r="S219" s="1"/>
      <c r="T219" s="3"/>
      <c r="U219" s="255"/>
      <c r="V219" s="255"/>
      <c r="W219" s="256"/>
      <c r="X219" s="257"/>
      <c r="Y219" s="257"/>
    </row>
    <row r="220" ht="15.75" customHeight="1">
      <c r="I220" s="3"/>
      <c r="J220" s="3"/>
      <c r="K220" s="3"/>
      <c r="L220" s="3"/>
      <c r="M220" s="3"/>
      <c r="Q220" s="3"/>
      <c r="R220" s="3"/>
      <c r="S220" s="1"/>
      <c r="T220" s="3"/>
      <c r="U220" s="255"/>
      <c r="V220" s="255"/>
      <c r="W220" s="256"/>
      <c r="X220" s="257"/>
      <c r="Y220" s="257"/>
    </row>
    <row r="221" ht="15.75" customHeight="1">
      <c r="I221" s="3"/>
      <c r="J221" s="3"/>
      <c r="K221" s="3"/>
      <c r="L221" s="3"/>
      <c r="M221" s="3"/>
      <c r="Q221" s="3"/>
      <c r="R221" s="3"/>
      <c r="S221" s="1"/>
      <c r="T221" s="3"/>
      <c r="U221" s="255"/>
      <c r="V221" s="255"/>
      <c r="W221" s="256"/>
      <c r="X221" s="257"/>
      <c r="Y221" s="257"/>
    </row>
    <row r="222" ht="15.75" customHeight="1">
      <c r="I222" s="3"/>
      <c r="J222" s="3"/>
      <c r="K222" s="3"/>
      <c r="L222" s="3"/>
      <c r="M222" s="3"/>
      <c r="Q222" s="3"/>
      <c r="R222" s="3"/>
      <c r="S222" s="1"/>
      <c r="T222" s="3"/>
      <c r="U222" s="255"/>
      <c r="V222" s="255"/>
      <c r="W222" s="256"/>
      <c r="X222" s="257"/>
      <c r="Y222" s="257"/>
    </row>
    <row r="223" ht="15.75" customHeight="1">
      <c r="I223" s="3"/>
      <c r="J223" s="3"/>
      <c r="K223" s="3"/>
      <c r="L223" s="3"/>
      <c r="M223" s="3"/>
      <c r="Q223" s="3"/>
      <c r="R223" s="3"/>
      <c r="S223" s="1"/>
      <c r="T223" s="3"/>
      <c r="U223" s="255"/>
      <c r="V223" s="255"/>
      <c r="W223" s="256"/>
      <c r="X223" s="257"/>
      <c r="Y223" s="257"/>
    </row>
    <row r="224" ht="15.75" customHeight="1">
      <c r="I224" s="3"/>
      <c r="J224" s="3"/>
      <c r="K224" s="3"/>
      <c r="L224" s="3"/>
      <c r="M224" s="3"/>
      <c r="Q224" s="3"/>
      <c r="R224" s="3"/>
      <c r="S224" s="1"/>
      <c r="T224" s="3"/>
      <c r="U224" s="255"/>
      <c r="V224" s="255"/>
      <c r="W224" s="256"/>
      <c r="X224" s="257"/>
      <c r="Y224" s="257"/>
    </row>
    <row r="225" ht="15.75" customHeight="1">
      <c r="I225" s="3"/>
      <c r="J225" s="3"/>
      <c r="K225" s="3"/>
      <c r="L225" s="3"/>
      <c r="M225" s="3"/>
      <c r="Q225" s="3"/>
      <c r="R225" s="3"/>
      <c r="S225" s="1"/>
      <c r="T225" s="3"/>
      <c r="U225" s="255"/>
      <c r="V225" s="255"/>
      <c r="W225" s="256"/>
      <c r="X225" s="257"/>
      <c r="Y225" s="257"/>
    </row>
    <row r="226" ht="15.75" customHeight="1">
      <c r="I226" s="3"/>
      <c r="J226" s="3"/>
      <c r="K226" s="3"/>
      <c r="L226" s="3"/>
      <c r="M226" s="3"/>
      <c r="Q226" s="3"/>
      <c r="R226" s="3"/>
      <c r="S226" s="1"/>
      <c r="T226" s="3"/>
      <c r="U226" s="255"/>
      <c r="V226" s="255"/>
      <c r="W226" s="256"/>
      <c r="X226" s="257"/>
      <c r="Y226" s="257"/>
    </row>
    <row r="227" ht="15.75" customHeight="1">
      <c r="I227" s="3"/>
      <c r="J227" s="3"/>
      <c r="K227" s="3"/>
      <c r="L227" s="3"/>
      <c r="M227" s="3"/>
      <c r="Q227" s="3"/>
      <c r="R227" s="3"/>
      <c r="S227" s="1"/>
      <c r="T227" s="3"/>
      <c r="U227" s="255"/>
      <c r="V227" s="255"/>
      <c r="W227" s="256"/>
      <c r="X227" s="257"/>
      <c r="Y227" s="257"/>
    </row>
    <row r="228" ht="15.75" customHeight="1">
      <c r="I228" s="3"/>
      <c r="J228" s="3"/>
      <c r="K228" s="3"/>
      <c r="L228" s="3"/>
      <c r="M228" s="3"/>
      <c r="Q228" s="3"/>
      <c r="R228" s="3"/>
      <c r="S228" s="1"/>
      <c r="T228" s="3"/>
      <c r="U228" s="255"/>
      <c r="V228" s="255"/>
      <c r="W228" s="256"/>
      <c r="X228" s="257"/>
      <c r="Y228" s="257"/>
    </row>
    <row r="229" ht="15.75" customHeight="1">
      <c r="I229" s="3"/>
      <c r="J229" s="3"/>
      <c r="K229" s="3"/>
      <c r="L229" s="3"/>
      <c r="M229" s="3"/>
      <c r="Q229" s="3"/>
      <c r="R229" s="3"/>
      <c r="S229" s="1"/>
      <c r="T229" s="3"/>
      <c r="U229" s="255"/>
      <c r="V229" s="255"/>
      <c r="W229" s="256"/>
      <c r="X229" s="257"/>
      <c r="Y229" s="257"/>
    </row>
    <row r="230" ht="15.75" customHeight="1">
      <c r="I230" s="3"/>
      <c r="J230" s="3"/>
      <c r="K230" s="3"/>
      <c r="L230" s="3"/>
      <c r="M230" s="3"/>
      <c r="Q230" s="3"/>
      <c r="R230" s="3"/>
      <c r="S230" s="1"/>
      <c r="T230" s="3"/>
      <c r="U230" s="255"/>
      <c r="V230" s="255"/>
      <c r="W230" s="256"/>
      <c r="X230" s="257"/>
      <c r="Y230" s="257"/>
    </row>
    <row r="231" ht="15.75" customHeight="1">
      <c r="I231" s="3"/>
      <c r="J231" s="3"/>
      <c r="K231" s="3"/>
      <c r="L231" s="3"/>
      <c r="M231" s="3"/>
      <c r="Q231" s="3"/>
      <c r="R231" s="3"/>
      <c r="S231" s="1"/>
      <c r="T231" s="3"/>
      <c r="U231" s="255"/>
      <c r="V231" s="255"/>
      <c r="W231" s="256"/>
      <c r="X231" s="257"/>
      <c r="Y231" s="257"/>
    </row>
    <row r="232" ht="15.75" customHeight="1">
      <c r="I232" s="3"/>
      <c r="J232" s="3"/>
      <c r="K232" s="3"/>
      <c r="L232" s="3"/>
      <c r="M232" s="3"/>
      <c r="Q232" s="3"/>
      <c r="R232" s="3"/>
      <c r="S232" s="1"/>
      <c r="T232" s="3"/>
      <c r="U232" s="255"/>
      <c r="V232" s="255"/>
      <c r="W232" s="256"/>
      <c r="X232" s="257"/>
      <c r="Y232" s="257"/>
    </row>
    <row r="233" ht="15.75" customHeight="1">
      <c r="I233" s="3"/>
      <c r="J233" s="3"/>
      <c r="K233" s="3"/>
      <c r="L233" s="3"/>
      <c r="M233" s="3"/>
      <c r="Q233" s="3"/>
      <c r="R233" s="3"/>
      <c r="S233" s="1"/>
      <c r="T233" s="3"/>
      <c r="U233" s="255"/>
      <c r="V233" s="255"/>
      <c r="W233" s="256"/>
      <c r="X233" s="257"/>
      <c r="Y233" s="257"/>
    </row>
    <row r="234" ht="15.75" customHeight="1">
      <c r="I234" s="3"/>
      <c r="J234" s="3"/>
      <c r="K234" s="3"/>
      <c r="L234" s="3"/>
      <c r="M234" s="3"/>
      <c r="Q234" s="3"/>
      <c r="R234" s="3"/>
      <c r="S234" s="1"/>
      <c r="T234" s="3"/>
      <c r="U234" s="255"/>
      <c r="V234" s="255"/>
      <c r="W234" s="256"/>
      <c r="X234" s="257"/>
      <c r="Y234" s="257"/>
    </row>
    <row r="235" ht="15.75" customHeight="1">
      <c r="I235" s="3"/>
      <c r="J235" s="3"/>
      <c r="K235" s="3"/>
      <c r="L235" s="3"/>
      <c r="M235" s="3"/>
      <c r="Q235" s="3"/>
      <c r="R235" s="3"/>
      <c r="S235" s="1"/>
      <c r="T235" s="3"/>
      <c r="U235" s="255"/>
      <c r="V235" s="255"/>
      <c r="W235" s="256"/>
      <c r="X235" s="257"/>
      <c r="Y235" s="257"/>
    </row>
    <row r="236" ht="15.75" customHeight="1">
      <c r="I236" s="3"/>
      <c r="J236" s="3"/>
      <c r="K236" s="3"/>
      <c r="L236" s="3"/>
      <c r="M236" s="3"/>
      <c r="Q236" s="3"/>
      <c r="R236" s="3"/>
      <c r="S236" s="1"/>
      <c r="T236" s="3"/>
      <c r="U236" s="255"/>
      <c r="V236" s="255"/>
      <c r="W236" s="256"/>
      <c r="X236" s="257"/>
      <c r="Y236" s="257"/>
    </row>
    <row r="237" ht="15.75" customHeight="1">
      <c r="I237" s="3"/>
      <c r="J237" s="3"/>
      <c r="K237" s="3"/>
      <c r="L237" s="3"/>
      <c r="M237" s="3"/>
      <c r="Q237" s="3"/>
      <c r="R237" s="3"/>
      <c r="S237" s="1"/>
      <c r="T237" s="3"/>
      <c r="U237" s="255"/>
      <c r="V237" s="255"/>
      <c r="W237" s="256"/>
      <c r="X237" s="257"/>
      <c r="Y237" s="257"/>
    </row>
    <row r="238" ht="15.75" customHeight="1">
      <c r="I238" s="3"/>
      <c r="J238" s="3"/>
      <c r="K238" s="3"/>
      <c r="L238" s="3"/>
      <c r="M238" s="3"/>
      <c r="Q238" s="3"/>
      <c r="R238" s="3"/>
      <c r="S238" s="1"/>
      <c r="T238" s="3"/>
      <c r="U238" s="255"/>
      <c r="V238" s="255"/>
      <c r="W238" s="256"/>
      <c r="X238" s="257"/>
      <c r="Y238" s="257"/>
    </row>
    <row r="239" ht="15.75" customHeight="1">
      <c r="I239" s="3"/>
      <c r="J239" s="3"/>
      <c r="K239" s="3"/>
      <c r="L239" s="3"/>
      <c r="M239" s="3"/>
      <c r="Q239" s="3"/>
      <c r="R239" s="3"/>
      <c r="S239" s="1"/>
      <c r="T239" s="3"/>
      <c r="U239" s="255"/>
      <c r="V239" s="255"/>
      <c r="W239" s="256"/>
      <c r="X239" s="257"/>
      <c r="Y239" s="257"/>
    </row>
    <row r="240" ht="15.75" customHeight="1">
      <c r="I240" s="3"/>
      <c r="J240" s="3"/>
      <c r="K240" s="3"/>
      <c r="L240" s="3"/>
      <c r="M240" s="3"/>
      <c r="Q240" s="3"/>
      <c r="R240" s="3"/>
      <c r="S240" s="1"/>
      <c r="T240" s="3"/>
      <c r="U240" s="255"/>
      <c r="V240" s="255"/>
      <c r="W240" s="256"/>
      <c r="X240" s="257"/>
      <c r="Y240" s="257"/>
    </row>
    <row r="241" ht="15.75" customHeight="1">
      <c r="I241" s="3"/>
      <c r="J241" s="3"/>
      <c r="K241" s="3"/>
      <c r="L241" s="3"/>
      <c r="M241" s="3"/>
      <c r="Q241" s="3"/>
      <c r="R241" s="3"/>
      <c r="S241" s="1"/>
      <c r="T241" s="3"/>
      <c r="U241" s="255"/>
      <c r="V241" s="255"/>
      <c r="W241" s="256"/>
      <c r="X241" s="257"/>
      <c r="Y241" s="257"/>
    </row>
    <row r="242" ht="15.75" customHeight="1">
      <c r="I242" s="3"/>
      <c r="J242" s="3"/>
      <c r="K242" s="3"/>
      <c r="L242" s="3"/>
      <c r="M242" s="3"/>
      <c r="Q242" s="3"/>
      <c r="R242" s="3"/>
      <c r="S242" s="1"/>
      <c r="T242" s="3"/>
      <c r="U242" s="255"/>
      <c r="V242" s="255"/>
      <c r="W242" s="256"/>
      <c r="X242" s="257"/>
      <c r="Y242" s="257"/>
    </row>
    <row r="243" ht="15.75" customHeight="1">
      <c r="I243" s="3"/>
      <c r="J243" s="3"/>
      <c r="K243" s="3"/>
      <c r="L243" s="3"/>
      <c r="M243" s="3"/>
      <c r="Q243" s="3"/>
      <c r="R243" s="3"/>
      <c r="S243" s="1"/>
      <c r="T243" s="3"/>
      <c r="U243" s="255"/>
      <c r="V243" s="255"/>
      <c r="W243" s="256"/>
      <c r="X243" s="257"/>
      <c r="Y243" s="257"/>
    </row>
    <row r="244" ht="15.75" customHeight="1">
      <c r="I244" s="3"/>
      <c r="J244" s="3"/>
      <c r="K244" s="3"/>
      <c r="L244" s="3"/>
      <c r="M244" s="3"/>
      <c r="Q244" s="3"/>
      <c r="R244" s="3"/>
      <c r="S244" s="1"/>
      <c r="T244" s="3"/>
      <c r="U244" s="255"/>
      <c r="V244" s="255"/>
      <c r="W244" s="256"/>
      <c r="X244" s="257"/>
      <c r="Y244" s="257"/>
    </row>
    <row r="245" ht="15.75" customHeight="1">
      <c r="I245" s="3"/>
      <c r="J245" s="3"/>
      <c r="K245" s="3"/>
      <c r="L245" s="3"/>
      <c r="M245" s="3"/>
      <c r="Q245" s="3"/>
      <c r="R245" s="3"/>
      <c r="S245" s="1"/>
      <c r="T245" s="3"/>
      <c r="U245" s="255"/>
      <c r="V245" s="255"/>
      <c r="W245" s="256"/>
      <c r="X245" s="257"/>
      <c r="Y245" s="257"/>
    </row>
    <row r="246" ht="15.75" customHeight="1">
      <c r="I246" s="3"/>
      <c r="J246" s="3"/>
      <c r="K246" s="3"/>
      <c r="L246" s="3"/>
      <c r="M246" s="3"/>
      <c r="Q246" s="3"/>
      <c r="R246" s="3"/>
      <c r="S246" s="1"/>
      <c r="T246" s="3"/>
      <c r="U246" s="255"/>
      <c r="V246" s="255"/>
      <c r="W246" s="256"/>
      <c r="X246" s="257"/>
      <c r="Y246" s="257"/>
    </row>
    <row r="247" ht="15.75" customHeight="1">
      <c r="I247" s="3"/>
      <c r="J247" s="3"/>
      <c r="K247" s="3"/>
      <c r="L247" s="3"/>
      <c r="M247" s="3"/>
      <c r="Q247" s="3"/>
      <c r="R247" s="3"/>
      <c r="S247" s="1"/>
      <c r="T247" s="3"/>
      <c r="U247" s="255"/>
      <c r="V247" s="255"/>
      <c r="W247" s="256"/>
      <c r="X247" s="257"/>
      <c r="Y247" s="257"/>
    </row>
    <row r="248" ht="15.75" customHeight="1">
      <c r="I248" s="3"/>
      <c r="J248" s="3"/>
      <c r="K248" s="3"/>
      <c r="L248" s="3"/>
      <c r="M248" s="3"/>
      <c r="Q248" s="3"/>
      <c r="R248" s="3"/>
      <c r="S248" s="1"/>
      <c r="T248" s="3"/>
      <c r="U248" s="255"/>
      <c r="V248" s="255"/>
      <c r="W248" s="256"/>
      <c r="X248" s="257"/>
      <c r="Y248" s="257"/>
    </row>
    <row r="249" ht="15.75" customHeight="1">
      <c r="I249" s="3"/>
      <c r="J249" s="3"/>
      <c r="K249" s="3"/>
      <c r="L249" s="3"/>
      <c r="M249" s="3"/>
      <c r="Q249" s="3"/>
      <c r="R249" s="3"/>
      <c r="S249" s="1"/>
      <c r="T249" s="3"/>
      <c r="U249" s="255"/>
      <c r="V249" s="255"/>
      <c r="W249" s="256"/>
      <c r="X249" s="257"/>
      <c r="Y249" s="257"/>
    </row>
    <row r="250" ht="15.75" customHeight="1">
      <c r="I250" s="3"/>
      <c r="J250" s="3"/>
      <c r="K250" s="3"/>
      <c r="L250" s="3"/>
      <c r="M250" s="3"/>
      <c r="Q250" s="3"/>
      <c r="R250" s="3"/>
      <c r="S250" s="1"/>
      <c r="T250" s="3"/>
      <c r="U250" s="255"/>
      <c r="V250" s="255"/>
      <c r="W250" s="256"/>
      <c r="X250" s="257"/>
      <c r="Y250" s="257"/>
    </row>
    <row r="251" ht="15.75" customHeight="1">
      <c r="I251" s="3"/>
      <c r="J251" s="3"/>
      <c r="K251" s="3"/>
      <c r="L251" s="3"/>
      <c r="M251" s="3"/>
      <c r="Q251" s="3"/>
      <c r="R251" s="3"/>
      <c r="S251" s="1"/>
      <c r="T251" s="3"/>
      <c r="U251" s="255"/>
      <c r="V251" s="255"/>
      <c r="W251" s="256"/>
      <c r="X251" s="257"/>
      <c r="Y251" s="257"/>
    </row>
    <row r="252" ht="15.75" customHeight="1">
      <c r="I252" s="3"/>
      <c r="J252" s="3"/>
      <c r="K252" s="3"/>
      <c r="L252" s="3"/>
      <c r="M252" s="3"/>
      <c r="Q252" s="3"/>
      <c r="R252" s="3"/>
      <c r="S252" s="1"/>
      <c r="T252" s="3"/>
      <c r="U252" s="255"/>
      <c r="V252" s="255"/>
      <c r="W252" s="256"/>
      <c r="X252" s="257"/>
      <c r="Y252" s="257"/>
    </row>
    <row r="253" ht="15.75" customHeight="1">
      <c r="I253" s="3"/>
      <c r="J253" s="3"/>
      <c r="K253" s="3"/>
      <c r="L253" s="3"/>
      <c r="M253" s="3"/>
      <c r="Q253" s="3"/>
      <c r="R253" s="3"/>
      <c r="S253" s="1"/>
      <c r="T253" s="3"/>
      <c r="U253" s="255"/>
      <c r="V253" s="255"/>
      <c r="W253" s="256"/>
      <c r="X253" s="257"/>
      <c r="Y253" s="257"/>
    </row>
    <row r="254" ht="15.75" customHeight="1">
      <c r="I254" s="3"/>
      <c r="J254" s="3"/>
      <c r="K254" s="3"/>
      <c r="L254" s="3"/>
      <c r="M254" s="3"/>
      <c r="Q254" s="3"/>
      <c r="R254" s="3"/>
      <c r="S254" s="1"/>
      <c r="T254" s="3"/>
      <c r="U254" s="255"/>
      <c r="V254" s="255"/>
      <c r="W254" s="256"/>
      <c r="X254" s="257"/>
      <c r="Y254" s="257"/>
    </row>
    <row r="255" ht="15.75" customHeight="1">
      <c r="I255" s="3"/>
      <c r="J255" s="3"/>
      <c r="K255" s="3"/>
      <c r="L255" s="3"/>
      <c r="M255" s="3"/>
      <c r="Q255" s="3"/>
      <c r="R255" s="3"/>
      <c r="S255" s="1"/>
      <c r="T255" s="3"/>
      <c r="U255" s="255"/>
      <c r="V255" s="255"/>
      <c r="W255" s="256"/>
      <c r="X255" s="257"/>
      <c r="Y255" s="257"/>
    </row>
    <row r="256" ht="15.75" customHeight="1">
      <c r="I256" s="3"/>
      <c r="J256" s="3"/>
      <c r="K256" s="3"/>
      <c r="L256" s="3"/>
      <c r="M256" s="3"/>
      <c r="Q256" s="3"/>
      <c r="R256" s="3"/>
      <c r="S256" s="1"/>
      <c r="T256" s="3"/>
      <c r="U256" s="255"/>
      <c r="V256" s="255"/>
      <c r="W256" s="256"/>
      <c r="X256" s="257"/>
      <c r="Y256" s="257"/>
    </row>
    <row r="257" ht="15.75" customHeight="1">
      <c r="I257" s="3"/>
      <c r="J257" s="3"/>
      <c r="K257" s="3"/>
      <c r="L257" s="3"/>
      <c r="M257" s="3"/>
      <c r="Q257" s="3"/>
      <c r="R257" s="3"/>
      <c r="S257" s="1"/>
      <c r="T257" s="3"/>
      <c r="U257" s="255"/>
      <c r="V257" s="255"/>
      <c r="W257" s="256"/>
      <c r="X257" s="257"/>
      <c r="Y257" s="257"/>
    </row>
    <row r="258" ht="15.75" customHeight="1">
      <c r="I258" s="3"/>
      <c r="J258" s="3"/>
      <c r="K258" s="3"/>
      <c r="L258" s="3"/>
      <c r="M258" s="3"/>
      <c r="Q258" s="3"/>
      <c r="R258" s="3"/>
      <c r="S258" s="1"/>
      <c r="T258" s="3"/>
      <c r="U258" s="255"/>
      <c r="V258" s="255"/>
      <c r="W258" s="256"/>
      <c r="X258" s="257"/>
      <c r="Y258" s="257"/>
    </row>
    <row r="259" ht="15.75" customHeight="1">
      <c r="I259" s="3"/>
      <c r="J259" s="3"/>
      <c r="K259" s="3"/>
      <c r="L259" s="3"/>
      <c r="M259" s="3"/>
      <c r="Q259" s="3"/>
      <c r="R259" s="3"/>
      <c r="S259" s="1"/>
      <c r="T259" s="3"/>
      <c r="U259" s="255"/>
      <c r="V259" s="255"/>
      <c r="W259" s="256"/>
      <c r="X259" s="257"/>
      <c r="Y259" s="257"/>
    </row>
    <row r="260" ht="15.75" customHeight="1">
      <c r="I260" s="3"/>
      <c r="J260" s="3"/>
      <c r="K260" s="3"/>
      <c r="L260" s="3"/>
      <c r="M260" s="3"/>
      <c r="Q260" s="3"/>
      <c r="R260" s="3"/>
      <c r="S260" s="1"/>
      <c r="T260" s="3"/>
      <c r="U260" s="255"/>
      <c r="V260" s="255"/>
      <c r="W260" s="256"/>
      <c r="X260" s="257"/>
      <c r="Y260" s="257"/>
    </row>
    <row r="261" ht="15.75" customHeight="1">
      <c r="I261" s="3"/>
      <c r="J261" s="3"/>
      <c r="K261" s="3"/>
      <c r="L261" s="3"/>
      <c r="M261" s="3"/>
      <c r="Q261" s="3"/>
      <c r="R261" s="3"/>
      <c r="S261" s="1"/>
      <c r="T261" s="3"/>
      <c r="U261" s="255"/>
      <c r="V261" s="255"/>
      <c r="W261" s="256"/>
      <c r="X261" s="257"/>
      <c r="Y261" s="257"/>
    </row>
    <row r="262" ht="15.75" customHeight="1">
      <c r="I262" s="3"/>
      <c r="J262" s="3"/>
      <c r="K262" s="3"/>
      <c r="L262" s="3"/>
      <c r="M262" s="3"/>
      <c r="Q262" s="3"/>
      <c r="R262" s="3"/>
      <c r="S262" s="1"/>
      <c r="T262" s="3"/>
      <c r="U262" s="255"/>
      <c r="V262" s="255"/>
      <c r="W262" s="256"/>
      <c r="X262" s="257"/>
      <c r="Y262" s="257"/>
    </row>
    <row r="263" ht="15.75" customHeight="1">
      <c r="I263" s="3"/>
      <c r="J263" s="3"/>
      <c r="K263" s="3"/>
      <c r="L263" s="3"/>
      <c r="M263" s="3"/>
      <c r="Q263" s="3"/>
      <c r="R263" s="3"/>
      <c r="S263" s="1"/>
      <c r="T263" s="3"/>
      <c r="U263" s="255"/>
      <c r="V263" s="255"/>
      <c r="W263" s="256"/>
      <c r="X263" s="257"/>
      <c r="Y263" s="257"/>
    </row>
    <row r="264" ht="15.75" customHeight="1">
      <c r="I264" s="3"/>
      <c r="J264" s="3"/>
      <c r="K264" s="3"/>
      <c r="L264" s="3"/>
      <c r="M264" s="3"/>
      <c r="Q264" s="3"/>
      <c r="R264" s="3"/>
      <c r="S264" s="1"/>
      <c r="T264" s="3"/>
      <c r="U264" s="255"/>
      <c r="V264" s="255"/>
      <c r="W264" s="256"/>
      <c r="X264" s="257"/>
      <c r="Y264" s="257"/>
    </row>
    <row r="265" ht="15.75" customHeight="1">
      <c r="I265" s="3"/>
      <c r="J265" s="3"/>
      <c r="K265" s="3"/>
      <c r="L265" s="3"/>
      <c r="M265" s="3"/>
      <c r="Q265" s="3"/>
      <c r="R265" s="3"/>
      <c r="S265" s="1"/>
      <c r="T265" s="3"/>
      <c r="U265" s="255"/>
      <c r="V265" s="255"/>
      <c r="W265" s="256"/>
      <c r="X265" s="257"/>
      <c r="Y265" s="257"/>
    </row>
    <row r="266" ht="15.75" customHeight="1">
      <c r="I266" s="3"/>
      <c r="J266" s="3"/>
      <c r="K266" s="3"/>
      <c r="L266" s="3"/>
      <c r="M266" s="3"/>
      <c r="Q266" s="3"/>
      <c r="R266" s="3"/>
      <c r="S266" s="1"/>
      <c r="T266" s="3"/>
      <c r="U266" s="255"/>
      <c r="V266" s="255"/>
      <c r="W266" s="256"/>
      <c r="X266" s="257"/>
      <c r="Y266" s="257"/>
    </row>
    <row r="267" ht="15.75" customHeight="1">
      <c r="I267" s="3"/>
      <c r="J267" s="3"/>
      <c r="K267" s="3"/>
      <c r="L267" s="3"/>
      <c r="M267" s="3"/>
      <c r="Q267" s="3"/>
      <c r="R267" s="3"/>
      <c r="S267" s="1"/>
      <c r="T267" s="3"/>
      <c r="U267" s="255"/>
      <c r="V267" s="255"/>
      <c r="W267" s="256"/>
      <c r="X267" s="257"/>
      <c r="Y267" s="257"/>
    </row>
    <row r="268" ht="15.75" customHeight="1">
      <c r="I268" s="3"/>
      <c r="J268" s="3"/>
      <c r="K268" s="3"/>
      <c r="L268" s="3"/>
      <c r="M268" s="3"/>
      <c r="Q268" s="3"/>
      <c r="R268" s="3"/>
      <c r="S268" s="1"/>
      <c r="T268" s="3"/>
      <c r="U268" s="255"/>
      <c r="V268" s="255"/>
      <c r="W268" s="256"/>
      <c r="X268" s="257"/>
      <c r="Y268" s="257"/>
    </row>
    <row r="269" ht="15.75" customHeight="1">
      <c r="I269" s="3"/>
      <c r="J269" s="3"/>
      <c r="K269" s="3"/>
      <c r="L269" s="3"/>
      <c r="M269" s="3"/>
      <c r="Q269" s="3"/>
      <c r="R269" s="3"/>
      <c r="S269" s="1"/>
      <c r="T269" s="3"/>
      <c r="U269" s="255"/>
      <c r="V269" s="255"/>
      <c r="W269" s="256"/>
      <c r="X269" s="257"/>
      <c r="Y269" s="257"/>
    </row>
    <row r="270" ht="15.75" customHeight="1">
      <c r="I270" s="3"/>
      <c r="J270" s="3"/>
      <c r="K270" s="3"/>
      <c r="L270" s="3"/>
      <c r="M270" s="3"/>
      <c r="Q270" s="3"/>
      <c r="R270" s="3"/>
      <c r="S270" s="1"/>
      <c r="T270" s="3"/>
      <c r="U270" s="255"/>
      <c r="V270" s="255"/>
      <c r="W270" s="256"/>
      <c r="X270" s="257"/>
      <c r="Y270" s="257"/>
    </row>
    <row r="271" ht="15.75" customHeight="1">
      <c r="I271" s="3"/>
      <c r="J271" s="3"/>
      <c r="K271" s="3"/>
      <c r="L271" s="3"/>
      <c r="M271" s="3"/>
      <c r="Q271" s="3"/>
      <c r="R271" s="3"/>
      <c r="S271" s="1"/>
      <c r="T271" s="3"/>
      <c r="U271" s="255"/>
      <c r="V271" s="255"/>
      <c r="W271" s="256"/>
      <c r="X271" s="257"/>
      <c r="Y271" s="257"/>
    </row>
    <row r="272" ht="15.75" customHeight="1">
      <c r="I272" s="3"/>
      <c r="J272" s="3"/>
      <c r="K272" s="3"/>
      <c r="L272" s="3"/>
      <c r="M272" s="3"/>
      <c r="Q272" s="3"/>
      <c r="R272" s="3"/>
      <c r="S272" s="1"/>
      <c r="T272" s="3"/>
      <c r="U272" s="255"/>
      <c r="V272" s="255"/>
      <c r="W272" s="256"/>
      <c r="X272" s="257"/>
      <c r="Y272" s="257"/>
    </row>
    <row r="273" ht="15.75" customHeight="1">
      <c r="I273" s="3"/>
      <c r="J273" s="3"/>
      <c r="K273" s="3"/>
      <c r="L273" s="3"/>
      <c r="M273" s="3"/>
      <c r="Q273" s="3"/>
      <c r="R273" s="3"/>
      <c r="S273" s="1"/>
      <c r="T273" s="3"/>
      <c r="U273" s="255"/>
      <c r="V273" s="255"/>
      <c r="W273" s="256"/>
      <c r="X273" s="257"/>
      <c r="Y273" s="257"/>
    </row>
    <row r="274" ht="15.75" customHeight="1">
      <c r="I274" s="3"/>
      <c r="J274" s="3"/>
      <c r="K274" s="3"/>
      <c r="L274" s="3"/>
      <c r="M274" s="3"/>
      <c r="Q274" s="3"/>
      <c r="R274" s="3"/>
      <c r="S274" s="1"/>
      <c r="T274" s="3"/>
      <c r="U274" s="255"/>
      <c r="V274" s="255"/>
      <c r="W274" s="256"/>
      <c r="X274" s="257"/>
      <c r="Y274" s="257"/>
    </row>
    <row r="275" ht="15.75" customHeight="1">
      <c r="I275" s="3"/>
      <c r="J275" s="3"/>
      <c r="K275" s="3"/>
      <c r="L275" s="3"/>
      <c r="M275" s="3"/>
      <c r="Q275" s="3"/>
      <c r="R275" s="3"/>
      <c r="S275" s="1"/>
      <c r="T275" s="3"/>
      <c r="U275" s="255"/>
      <c r="V275" s="255"/>
      <c r="W275" s="256"/>
      <c r="X275" s="257"/>
      <c r="Y275" s="257"/>
    </row>
    <row r="276" ht="15.75" customHeight="1">
      <c r="I276" s="3"/>
      <c r="J276" s="3"/>
      <c r="K276" s="3"/>
      <c r="L276" s="3"/>
      <c r="M276" s="3"/>
      <c r="Q276" s="3"/>
      <c r="R276" s="3"/>
      <c r="S276" s="1"/>
      <c r="T276" s="3"/>
      <c r="U276" s="255"/>
      <c r="V276" s="255"/>
      <c r="W276" s="256"/>
      <c r="X276" s="257"/>
      <c r="Y276" s="257"/>
    </row>
    <row r="277" ht="15.75" customHeight="1">
      <c r="I277" s="3"/>
      <c r="J277" s="3"/>
      <c r="K277" s="3"/>
      <c r="L277" s="3"/>
      <c r="M277" s="3"/>
      <c r="Q277" s="3"/>
      <c r="R277" s="3"/>
      <c r="S277" s="1"/>
      <c r="T277" s="3"/>
      <c r="U277" s="255"/>
      <c r="V277" s="255"/>
      <c r="W277" s="256"/>
      <c r="X277" s="257"/>
      <c r="Y277" s="257"/>
    </row>
    <row r="278" ht="15.75" customHeight="1">
      <c r="I278" s="3"/>
      <c r="J278" s="3"/>
      <c r="K278" s="3"/>
      <c r="L278" s="3"/>
      <c r="M278" s="3"/>
      <c r="Q278" s="3"/>
      <c r="R278" s="3"/>
      <c r="S278" s="1"/>
      <c r="T278" s="3"/>
      <c r="U278" s="255"/>
      <c r="V278" s="255"/>
      <c r="W278" s="256"/>
      <c r="X278" s="257"/>
      <c r="Y278" s="257"/>
    </row>
    <row r="279" ht="15.75" customHeight="1">
      <c r="I279" s="3"/>
      <c r="J279" s="3"/>
      <c r="K279" s="3"/>
      <c r="L279" s="3"/>
      <c r="M279" s="3"/>
      <c r="Q279" s="3"/>
      <c r="R279" s="3"/>
      <c r="S279" s="1"/>
      <c r="T279" s="3"/>
      <c r="U279" s="255"/>
      <c r="V279" s="255"/>
      <c r="W279" s="256"/>
      <c r="X279" s="257"/>
      <c r="Y279" s="257"/>
    </row>
    <row r="280" ht="15.75" customHeight="1">
      <c r="I280" s="3"/>
      <c r="J280" s="3"/>
      <c r="K280" s="3"/>
      <c r="L280" s="3"/>
      <c r="M280" s="3"/>
      <c r="Q280" s="3"/>
      <c r="R280" s="3"/>
      <c r="S280" s="1"/>
      <c r="T280" s="3"/>
      <c r="U280" s="255"/>
      <c r="V280" s="255"/>
      <c r="W280" s="256"/>
      <c r="X280" s="257"/>
      <c r="Y280" s="257"/>
    </row>
    <row r="281" ht="15.75" customHeight="1">
      <c r="I281" s="3"/>
      <c r="J281" s="3"/>
      <c r="K281" s="3"/>
      <c r="L281" s="3"/>
      <c r="M281" s="3"/>
      <c r="Q281" s="3"/>
      <c r="R281" s="3"/>
      <c r="S281" s="1"/>
      <c r="T281" s="3"/>
      <c r="U281" s="255"/>
      <c r="V281" s="255"/>
      <c r="W281" s="256"/>
      <c r="X281" s="257"/>
      <c r="Y281" s="257"/>
    </row>
    <row r="282" ht="15.75" customHeight="1">
      <c r="I282" s="3"/>
      <c r="J282" s="3"/>
      <c r="K282" s="3"/>
      <c r="L282" s="3"/>
      <c r="M282" s="3"/>
      <c r="Q282" s="3"/>
      <c r="R282" s="3"/>
      <c r="S282" s="1"/>
      <c r="T282" s="3"/>
      <c r="U282" s="255"/>
      <c r="V282" s="255"/>
      <c r="W282" s="256"/>
      <c r="X282" s="257"/>
      <c r="Y282" s="257"/>
    </row>
    <row r="283" ht="15.75" customHeight="1">
      <c r="I283" s="3"/>
      <c r="J283" s="3"/>
      <c r="K283" s="3"/>
      <c r="L283" s="3"/>
      <c r="M283" s="3"/>
      <c r="Q283" s="3"/>
      <c r="R283" s="3"/>
      <c r="S283" s="1"/>
      <c r="T283" s="3"/>
      <c r="U283" s="255"/>
      <c r="V283" s="255"/>
      <c r="W283" s="256"/>
      <c r="X283" s="257"/>
      <c r="Y283" s="257"/>
    </row>
    <row r="284" ht="15.75" customHeight="1">
      <c r="I284" s="3"/>
      <c r="J284" s="3"/>
      <c r="K284" s="3"/>
      <c r="L284" s="3"/>
      <c r="M284" s="3"/>
      <c r="Q284" s="3"/>
      <c r="R284" s="3"/>
      <c r="S284" s="1"/>
      <c r="T284" s="3"/>
      <c r="U284" s="255"/>
      <c r="V284" s="255"/>
      <c r="W284" s="256"/>
      <c r="X284" s="257"/>
      <c r="Y284" s="257"/>
    </row>
    <row r="285" ht="15.75" customHeight="1">
      <c r="I285" s="3"/>
      <c r="J285" s="3"/>
      <c r="K285" s="3"/>
      <c r="L285" s="3"/>
      <c r="M285" s="3"/>
      <c r="Q285" s="3"/>
      <c r="R285" s="3"/>
      <c r="S285" s="1"/>
      <c r="T285" s="3"/>
      <c r="U285" s="255"/>
      <c r="V285" s="255"/>
      <c r="W285" s="256"/>
      <c r="X285" s="257"/>
      <c r="Y285" s="257"/>
    </row>
    <row r="286" ht="15.75" customHeight="1">
      <c r="I286" s="3"/>
      <c r="J286" s="3"/>
      <c r="K286" s="3"/>
      <c r="L286" s="3"/>
      <c r="M286" s="3"/>
      <c r="Q286" s="3"/>
      <c r="R286" s="3"/>
      <c r="S286" s="1"/>
      <c r="T286" s="3"/>
      <c r="U286" s="255"/>
      <c r="V286" s="255"/>
      <c r="W286" s="256"/>
      <c r="X286" s="257"/>
      <c r="Y286" s="257"/>
    </row>
    <row r="287" ht="15.75" customHeight="1">
      <c r="I287" s="3"/>
      <c r="J287" s="3"/>
      <c r="K287" s="3"/>
      <c r="L287" s="3"/>
      <c r="M287" s="3"/>
      <c r="Q287" s="3"/>
      <c r="R287" s="3"/>
      <c r="S287" s="1"/>
      <c r="T287" s="3"/>
      <c r="U287" s="255"/>
      <c r="V287" s="255"/>
      <c r="W287" s="256"/>
      <c r="X287" s="257"/>
      <c r="Y287" s="257"/>
    </row>
    <row r="288" ht="15.75" customHeight="1">
      <c r="I288" s="3"/>
      <c r="J288" s="3"/>
      <c r="K288" s="3"/>
      <c r="L288" s="3"/>
      <c r="M288" s="3"/>
      <c r="Q288" s="3"/>
      <c r="R288" s="3"/>
      <c r="S288" s="1"/>
      <c r="T288" s="3"/>
      <c r="U288" s="255"/>
      <c r="V288" s="255"/>
      <c r="W288" s="256"/>
      <c r="X288" s="257"/>
      <c r="Y288" s="257"/>
    </row>
    <row r="289" ht="15.75" customHeight="1">
      <c r="I289" s="3"/>
      <c r="J289" s="3"/>
      <c r="K289" s="3"/>
      <c r="L289" s="3"/>
      <c r="M289" s="3"/>
      <c r="Q289" s="3"/>
      <c r="R289" s="3"/>
      <c r="S289" s="1"/>
      <c r="T289" s="3"/>
      <c r="U289" s="255"/>
      <c r="V289" s="255"/>
      <c r="W289" s="256"/>
      <c r="X289" s="257"/>
      <c r="Y289" s="257"/>
    </row>
    <row r="290" ht="15.75" customHeight="1">
      <c r="I290" s="3"/>
      <c r="J290" s="3"/>
      <c r="K290" s="3"/>
      <c r="L290" s="3"/>
      <c r="M290" s="3"/>
      <c r="Q290" s="3"/>
      <c r="R290" s="3"/>
      <c r="S290" s="1"/>
      <c r="T290" s="3"/>
      <c r="U290" s="255"/>
      <c r="V290" s="255"/>
      <c r="W290" s="256"/>
      <c r="X290" s="257"/>
      <c r="Y290" s="257"/>
    </row>
    <row r="291" ht="15.75" customHeight="1">
      <c r="I291" s="3"/>
      <c r="J291" s="3"/>
      <c r="K291" s="3"/>
      <c r="L291" s="3"/>
      <c r="M291" s="3"/>
      <c r="Q291" s="3"/>
      <c r="R291" s="3"/>
      <c r="S291" s="1"/>
      <c r="T291" s="3"/>
      <c r="U291" s="255"/>
      <c r="V291" s="255"/>
      <c r="W291" s="256"/>
      <c r="X291" s="257"/>
      <c r="Y291" s="257"/>
    </row>
    <row r="292" ht="15.75" customHeight="1">
      <c r="I292" s="3"/>
      <c r="J292" s="3"/>
      <c r="K292" s="3"/>
      <c r="L292" s="3"/>
      <c r="M292" s="3"/>
      <c r="Q292" s="3"/>
      <c r="R292" s="3"/>
      <c r="S292" s="1"/>
      <c r="T292" s="3"/>
      <c r="U292" s="255"/>
      <c r="V292" s="255"/>
      <c r="W292" s="256"/>
      <c r="X292" s="257"/>
      <c r="Y292" s="257"/>
    </row>
    <row r="293" ht="15.75" customHeight="1">
      <c r="I293" s="3"/>
      <c r="J293" s="3"/>
      <c r="K293" s="3"/>
      <c r="L293" s="3"/>
      <c r="M293" s="3"/>
      <c r="Q293" s="3"/>
      <c r="R293" s="3"/>
      <c r="S293" s="1"/>
      <c r="T293" s="3"/>
      <c r="U293" s="255"/>
      <c r="V293" s="255"/>
      <c r="W293" s="256"/>
      <c r="X293" s="257"/>
      <c r="Y293" s="257"/>
    </row>
    <row r="294" ht="15.75" customHeight="1">
      <c r="I294" s="3"/>
      <c r="J294" s="3"/>
      <c r="K294" s="3"/>
      <c r="L294" s="3"/>
      <c r="M294" s="3"/>
      <c r="Q294" s="3"/>
      <c r="R294" s="3"/>
      <c r="S294" s="1"/>
      <c r="T294" s="3"/>
      <c r="U294" s="255"/>
      <c r="V294" s="255"/>
      <c r="W294" s="256"/>
      <c r="X294" s="257"/>
      <c r="Y294" s="257"/>
    </row>
    <row r="295" ht="15.75" customHeight="1">
      <c r="I295" s="3"/>
      <c r="J295" s="3"/>
      <c r="K295" s="3"/>
      <c r="L295" s="3"/>
      <c r="M295" s="3"/>
      <c r="Q295" s="3"/>
      <c r="R295" s="3"/>
      <c r="S295" s="1"/>
      <c r="T295" s="3"/>
      <c r="U295" s="255"/>
      <c r="V295" s="255"/>
      <c r="W295" s="256"/>
      <c r="X295" s="257"/>
      <c r="Y295" s="257"/>
    </row>
    <row r="296" ht="15.75" customHeight="1">
      <c r="I296" s="3"/>
      <c r="J296" s="3"/>
      <c r="K296" s="3"/>
      <c r="L296" s="3"/>
      <c r="M296" s="3"/>
      <c r="Q296" s="3"/>
      <c r="R296" s="3"/>
      <c r="S296" s="1"/>
      <c r="T296" s="3"/>
      <c r="U296" s="255"/>
      <c r="V296" s="255"/>
      <c r="W296" s="256"/>
      <c r="X296" s="257"/>
      <c r="Y296" s="257"/>
    </row>
    <row r="297" ht="15.75" customHeight="1">
      <c r="I297" s="3"/>
      <c r="J297" s="3"/>
      <c r="K297" s="3"/>
      <c r="L297" s="3"/>
      <c r="M297" s="3"/>
      <c r="Q297" s="3"/>
      <c r="R297" s="3"/>
      <c r="S297" s="1"/>
      <c r="T297" s="3"/>
      <c r="U297" s="255"/>
      <c r="V297" s="255"/>
      <c r="W297" s="256"/>
      <c r="X297" s="257"/>
      <c r="Y297" s="257"/>
    </row>
    <row r="298" ht="15.75" customHeight="1">
      <c r="I298" s="3"/>
      <c r="J298" s="3"/>
      <c r="K298" s="3"/>
      <c r="L298" s="3"/>
      <c r="M298" s="3"/>
      <c r="Q298" s="3"/>
      <c r="R298" s="3"/>
      <c r="S298" s="1"/>
      <c r="T298" s="3"/>
      <c r="U298" s="255"/>
      <c r="V298" s="255"/>
      <c r="W298" s="256"/>
      <c r="X298" s="257"/>
      <c r="Y298" s="257"/>
    </row>
    <row r="299" ht="15.75" customHeight="1">
      <c r="I299" s="3"/>
      <c r="J299" s="3"/>
      <c r="K299" s="3"/>
      <c r="L299" s="3"/>
      <c r="M299" s="3"/>
      <c r="Q299" s="3"/>
      <c r="R299" s="3"/>
      <c r="S299" s="1"/>
      <c r="T299" s="3"/>
      <c r="U299" s="255"/>
      <c r="V299" s="255"/>
      <c r="W299" s="256"/>
      <c r="X299" s="257"/>
      <c r="Y299" s="257"/>
    </row>
    <row r="300" ht="15.75" customHeight="1">
      <c r="I300" s="3"/>
      <c r="J300" s="3"/>
      <c r="K300" s="3"/>
      <c r="L300" s="3"/>
      <c r="M300" s="3"/>
      <c r="Q300" s="3"/>
      <c r="R300" s="3"/>
      <c r="S300" s="1"/>
      <c r="T300" s="3"/>
      <c r="U300" s="255"/>
      <c r="V300" s="255"/>
      <c r="W300" s="256"/>
      <c r="X300" s="257"/>
      <c r="Y300" s="257"/>
    </row>
    <row r="301" ht="15.75" customHeight="1">
      <c r="I301" s="3"/>
      <c r="J301" s="3"/>
      <c r="K301" s="3"/>
      <c r="L301" s="3"/>
      <c r="M301" s="3"/>
      <c r="Q301" s="3"/>
      <c r="R301" s="3"/>
      <c r="S301" s="1"/>
      <c r="T301" s="3"/>
      <c r="U301" s="255"/>
      <c r="V301" s="255"/>
      <c r="W301" s="256"/>
      <c r="X301" s="257"/>
      <c r="Y301" s="257"/>
    </row>
    <row r="302" ht="15.75" customHeight="1">
      <c r="I302" s="3"/>
      <c r="J302" s="3"/>
      <c r="K302" s="3"/>
      <c r="L302" s="3"/>
      <c r="M302" s="3"/>
      <c r="Q302" s="3"/>
      <c r="R302" s="3"/>
      <c r="S302" s="1"/>
      <c r="T302" s="3"/>
      <c r="U302" s="255"/>
      <c r="V302" s="255"/>
      <c r="W302" s="256"/>
      <c r="X302" s="257"/>
      <c r="Y302" s="257"/>
    </row>
    <row r="303" ht="15.75" customHeight="1">
      <c r="I303" s="3"/>
      <c r="J303" s="3"/>
      <c r="K303" s="3"/>
      <c r="L303" s="3"/>
      <c r="M303" s="3"/>
      <c r="Q303" s="3"/>
      <c r="R303" s="3"/>
      <c r="S303" s="1"/>
      <c r="T303" s="3"/>
      <c r="U303" s="255"/>
      <c r="V303" s="255"/>
      <c r="W303" s="256"/>
      <c r="X303" s="257"/>
      <c r="Y303" s="257"/>
    </row>
    <row r="304" ht="15.75" customHeight="1">
      <c r="I304" s="3"/>
      <c r="J304" s="3"/>
      <c r="K304" s="3"/>
      <c r="L304" s="3"/>
      <c r="M304" s="3"/>
      <c r="Q304" s="3"/>
      <c r="R304" s="3"/>
      <c r="S304" s="1"/>
      <c r="T304" s="3"/>
      <c r="U304" s="255"/>
      <c r="V304" s="255"/>
      <c r="W304" s="256"/>
      <c r="X304" s="257"/>
      <c r="Y304" s="257"/>
    </row>
    <row r="305" ht="15.75" customHeight="1">
      <c r="I305" s="3"/>
      <c r="J305" s="3"/>
      <c r="K305" s="3"/>
      <c r="L305" s="3"/>
      <c r="M305" s="3"/>
      <c r="Q305" s="3"/>
      <c r="R305" s="3"/>
      <c r="S305" s="3"/>
      <c r="T305" s="3"/>
      <c r="U305" s="3"/>
      <c r="V305" s="3"/>
    </row>
    <row r="306" ht="15.75" customHeight="1">
      <c r="I306" s="3"/>
      <c r="J306" s="3"/>
      <c r="K306" s="3"/>
      <c r="L306" s="3"/>
      <c r="M306" s="3"/>
      <c r="Q306" s="3"/>
      <c r="R306" s="3"/>
      <c r="S306" s="3"/>
      <c r="T306" s="3"/>
      <c r="U306" s="3"/>
      <c r="V306" s="3"/>
    </row>
    <row r="307" ht="15.75" customHeight="1">
      <c r="I307" s="3"/>
      <c r="J307" s="3"/>
      <c r="K307" s="3"/>
      <c r="L307" s="3"/>
      <c r="M307" s="3"/>
      <c r="Q307" s="3"/>
      <c r="R307" s="3"/>
      <c r="S307" s="3"/>
      <c r="T307" s="3"/>
      <c r="U307" s="3"/>
      <c r="V307" s="3"/>
    </row>
    <row r="308" ht="15.75" customHeight="1">
      <c r="I308" s="3"/>
      <c r="J308" s="3"/>
      <c r="K308" s="3"/>
      <c r="L308" s="3"/>
      <c r="M308" s="3"/>
      <c r="Q308" s="3"/>
      <c r="R308" s="3"/>
      <c r="S308" s="3"/>
      <c r="T308" s="3"/>
      <c r="U308" s="3"/>
      <c r="V308" s="3"/>
    </row>
    <row r="309" ht="15.75" customHeight="1">
      <c r="I309" s="3"/>
      <c r="J309" s="3"/>
      <c r="K309" s="3"/>
      <c r="L309" s="3"/>
      <c r="M309" s="3"/>
      <c r="Q309" s="3"/>
      <c r="R309" s="3"/>
      <c r="S309" s="3"/>
      <c r="T309" s="3"/>
      <c r="U309" s="3"/>
      <c r="V309" s="3"/>
    </row>
    <row r="310" ht="15.75" customHeight="1">
      <c r="I310" s="3"/>
      <c r="J310" s="3"/>
      <c r="K310" s="3"/>
      <c r="L310" s="3"/>
      <c r="M310" s="3"/>
      <c r="Q310" s="3"/>
      <c r="R310" s="3"/>
      <c r="S310" s="3"/>
      <c r="T310" s="3"/>
      <c r="U310" s="3"/>
      <c r="V310" s="3"/>
    </row>
    <row r="311" ht="15.75" customHeight="1">
      <c r="I311" s="3"/>
      <c r="J311" s="3"/>
      <c r="K311" s="3"/>
      <c r="L311" s="3"/>
      <c r="M311" s="3"/>
      <c r="Q311" s="3"/>
      <c r="R311" s="3"/>
      <c r="S311" s="3"/>
      <c r="T311" s="3"/>
      <c r="U311" s="3"/>
      <c r="V311" s="3"/>
    </row>
    <row r="312" ht="15.75" customHeight="1">
      <c r="I312" s="3"/>
      <c r="J312" s="3"/>
      <c r="K312" s="3"/>
      <c r="L312" s="3"/>
      <c r="M312" s="3"/>
      <c r="Q312" s="3"/>
      <c r="R312" s="3"/>
      <c r="S312" s="3"/>
      <c r="T312" s="3"/>
      <c r="U312" s="3"/>
      <c r="V312" s="3"/>
    </row>
    <row r="313" ht="15.75" customHeight="1">
      <c r="I313" s="3"/>
      <c r="J313" s="3"/>
      <c r="K313" s="3"/>
      <c r="L313" s="3"/>
      <c r="M313" s="3"/>
      <c r="Q313" s="3"/>
      <c r="R313" s="3"/>
      <c r="S313" s="3"/>
      <c r="T313" s="3"/>
      <c r="U313" s="3"/>
      <c r="V313" s="3"/>
    </row>
    <row r="314" ht="15.75" customHeight="1">
      <c r="I314" s="3"/>
      <c r="J314" s="3"/>
      <c r="K314" s="3"/>
      <c r="L314" s="3"/>
      <c r="M314" s="3"/>
      <c r="Q314" s="3"/>
      <c r="R314" s="3"/>
      <c r="S314" s="3"/>
      <c r="T314" s="3"/>
      <c r="U314" s="3"/>
      <c r="V314" s="3"/>
    </row>
    <row r="315" ht="15.75" customHeight="1">
      <c r="I315" s="3"/>
      <c r="J315" s="3"/>
      <c r="K315" s="3"/>
      <c r="L315" s="3"/>
      <c r="M315" s="3"/>
      <c r="Q315" s="3"/>
      <c r="R315" s="3"/>
      <c r="S315" s="3"/>
      <c r="T315" s="3"/>
      <c r="U315" s="3"/>
      <c r="V315" s="3"/>
    </row>
    <row r="316" ht="15.75" customHeight="1">
      <c r="I316" s="3"/>
      <c r="J316" s="3"/>
      <c r="K316" s="3"/>
      <c r="L316" s="3"/>
      <c r="M316" s="3"/>
      <c r="Q316" s="3"/>
      <c r="R316" s="3"/>
      <c r="S316" s="3"/>
      <c r="T316" s="3"/>
      <c r="U316" s="3"/>
      <c r="V316" s="3"/>
    </row>
    <row r="317" ht="15.75" customHeight="1">
      <c r="I317" s="3"/>
      <c r="J317" s="3"/>
      <c r="K317" s="3"/>
      <c r="L317" s="3"/>
      <c r="M317" s="3"/>
      <c r="Q317" s="3"/>
      <c r="R317" s="3"/>
      <c r="S317" s="3"/>
      <c r="T317" s="3"/>
      <c r="U317" s="3"/>
      <c r="V317" s="3"/>
    </row>
    <row r="318" ht="15.75" customHeight="1">
      <c r="I318" s="3"/>
      <c r="J318" s="3"/>
      <c r="K318" s="3"/>
      <c r="L318" s="3"/>
      <c r="M318" s="3"/>
      <c r="Q318" s="3"/>
      <c r="R318" s="3"/>
      <c r="S318" s="3"/>
      <c r="T318" s="3"/>
      <c r="U318" s="3"/>
      <c r="V318" s="3"/>
    </row>
    <row r="319" ht="15.75" customHeight="1">
      <c r="I319" s="3"/>
      <c r="J319" s="3"/>
      <c r="K319" s="3"/>
      <c r="L319" s="3"/>
      <c r="M319" s="3"/>
      <c r="Q319" s="3"/>
      <c r="R319" s="3"/>
      <c r="S319" s="3"/>
      <c r="T319" s="3"/>
      <c r="U319" s="3"/>
      <c r="V319" s="3"/>
    </row>
    <row r="320" ht="15.75" customHeight="1">
      <c r="I320" s="3"/>
      <c r="J320" s="3"/>
      <c r="K320" s="3"/>
      <c r="L320" s="3"/>
      <c r="M320" s="3"/>
      <c r="Q320" s="3"/>
      <c r="R320" s="3"/>
      <c r="S320" s="3"/>
      <c r="T320" s="3"/>
      <c r="U320" s="3"/>
      <c r="V320" s="3"/>
    </row>
    <row r="321" ht="15.75" customHeight="1">
      <c r="I321" s="3"/>
      <c r="J321" s="3"/>
      <c r="K321" s="3"/>
      <c r="L321" s="3"/>
      <c r="M321" s="3"/>
      <c r="Q321" s="3"/>
      <c r="R321" s="3"/>
      <c r="S321" s="3"/>
      <c r="T321" s="3"/>
      <c r="U321" s="3"/>
      <c r="V321" s="3"/>
    </row>
    <row r="322" ht="15.75" customHeight="1">
      <c r="I322" s="3"/>
      <c r="J322" s="3"/>
      <c r="K322" s="3"/>
      <c r="L322" s="3"/>
      <c r="M322" s="3"/>
      <c r="Q322" s="3"/>
      <c r="R322" s="3"/>
      <c r="S322" s="3"/>
      <c r="T322" s="3"/>
      <c r="U322" s="3"/>
      <c r="V322" s="3"/>
    </row>
    <row r="323" ht="15.75" customHeight="1">
      <c r="I323" s="3"/>
      <c r="J323" s="3"/>
      <c r="K323" s="3"/>
      <c r="L323" s="3"/>
      <c r="M323" s="3"/>
      <c r="Q323" s="3"/>
      <c r="R323" s="3"/>
      <c r="S323" s="3"/>
      <c r="T323" s="3"/>
      <c r="U323" s="3"/>
      <c r="V323" s="3"/>
    </row>
    <row r="324" ht="15.75" customHeight="1">
      <c r="I324" s="3"/>
      <c r="J324" s="3"/>
      <c r="K324" s="3"/>
      <c r="L324" s="3"/>
      <c r="M324" s="3"/>
      <c r="Q324" s="3"/>
      <c r="R324" s="3"/>
      <c r="S324" s="3"/>
      <c r="T324" s="3"/>
      <c r="U324" s="3"/>
      <c r="V324" s="3"/>
    </row>
    <row r="325" ht="15.75" customHeight="1">
      <c r="I325" s="3"/>
      <c r="J325" s="3"/>
      <c r="K325" s="3"/>
      <c r="L325" s="3"/>
      <c r="M325" s="3"/>
      <c r="Q325" s="3"/>
      <c r="R325" s="3"/>
      <c r="S325" s="3"/>
      <c r="T325" s="3"/>
      <c r="U325" s="3"/>
      <c r="V325" s="3"/>
    </row>
    <row r="326" ht="15.75" customHeight="1">
      <c r="I326" s="3"/>
      <c r="J326" s="3"/>
      <c r="K326" s="3"/>
      <c r="L326" s="3"/>
      <c r="M326" s="3"/>
      <c r="Q326" s="3"/>
      <c r="R326" s="3"/>
      <c r="S326" s="3"/>
      <c r="T326" s="3"/>
      <c r="U326" s="3"/>
      <c r="V326" s="3"/>
    </row>
    <row r="327" ht="15.75" customHeight="1">
      <c r="I327" s="3"/>
      <c r="J327" s="3"/>
      <c r="K327" s="3"/>
      <c r="L327" s="3"/>
      <c r="M327" s="3"/>
      <c r="Q327" s="3"/>
      <c r="R327" s="3"/>
      <c r="S327" s="3"/>
      <c r="T327" s="3"/>
      <c r="U327" s="3"/>
      <c r="V327" s="3"/>
    </row>
    <row r="328" ht="15.75" customHeight="1">
      <c r="I328" s="3"/>
      <c r="J328" s="3"/>
      <c r="K328" s="3"/>
      <c r="L328" s="3"/>
      <c r="M328" s="3"/>
      <c r="Q328" s="3"/>
      <c r="R328" s="3"/>
      <c r="S328" s="3"/>
      <c r="T328" s="3"/>
      <c r="U328" s="3"/>
      <c r="V328" s="3"/>
    </row>
    <row r="329" ht="15.75" customHeight="1">
      <c r="I329" s="3"/>
      <c r="J329" s="3"/>
      <c r="K329" s="3"/>
      <c r="L329" s="3"/>
      <c r="M329" s="3"/>
      <c r="Q329" s="3"/>
      <c r="R329" s="3"/>
      <c r="S329" s="3"/>
      <c r="T329" s="3"/>
      <c r="U329" s="3"/>
      <c r="V329" s="3"/>
    </row>
    <row r="330" ht="15.75" customHeight="1">
      <c r="I330" s="3"/>
      <c r="J330" s="3"/>
      <c r="K330" s="3"/>
      <c r="L330" s="3"/>
      <c r="M330" s="3"/>
      <c r="Q330" s="3"/>
      <c r="R330" s="3"/>
      <c r="S330" s="3"/>
      <c r="T330" s="3"/>
      <c r="U330" s="3"/>
      <c r="V330" s="3"/>
    </row>
    <row r="331" ht="15.75" customHeight="1">
      <c r="I331" s="3"/>
      <c r="J331" s="3"/>
      <c r="K331" s="3"/>
      <c r="L331" s="3"/>
      <c r="M331" s="3"/>
      <c r="Q331" s="3"/>
      <c r="R331" s="3"/>
      <c r="S331" s="3"/>
      <c r="T331" s="3"/>
      <c r="U331" s="3"/>
      <c r="V331" s="3"/>
    </row>
    <row r="332" ht="15.75" customHeight="1">
      <c r="I332" s="3"/>
      <c r="J332" s="3"/>
      <c r="K332" s="3"/>
      <c r="L332" s="3"/>
      <c r="M332" s="3"/>
      <c r="Q332" s="3"/>
      <c r="R332" s="3"/>
      <c r="S332" s="3"/>
      <c r="T332" s="3"/>
      <c r="U332" s="3"/>
      <c r="V332" s="3"/>
    </row>
    <row r="333" ht="15.75" customHeight="1">
      <c r="I333" s="3"/>
      <c r="J333" s="3"/>
      <c r="K333" s="3"/>
      <c r="L333" s="3"/>
      <c r="M333" s="3"/>
      <c r="Q333" s="3"/>
      <c r="R333" s="3"/>
      <c r="S333" s="3"/>
      <c r="T333" s="3"/>
      <c r="U333" s="3"/>
      <c r="V333" s="3"/>
    </row>
    <row r="334" ht="15.75" customHeight="1">
      <c r="I334" s="3"/>
      <c r="J334" s="3"/>
      <c r="K334" s="3"/>
      <c r="L334" s="3"/>
      <c r="M334" s="3"/>
      <c r="Q334" s="3"/>
      <c r="R334" s="3"/>
      <c r="S334" s="3"/>
      <c r="T334" s="3"/>
      <c r="U334" s="3"/>
      <c r="V334" s="3"/>
    </row>
    <row r="335" ht="15.75" customHeight="1">
      <c r="I335" s="3"/>
      <c r="J335" s="3"/>
      <c r="K335" s="3"/>
      <c r="L335" s="3"/>
      <c r="M335" s="3"/>
      <c r="Q335" s="3"/>
      <c r="R335" s="3"/>
      <c r="S335" s="3"/>
      <c r="T335" s="3"/>
      <c r="U335" s="3"/>
      <c r="V335" s="3"/>
    </row>
    <row r="336" ht="15.75" customHeight="1">
      <c r="I336" s="3"/>
      <c r="J336" s="3"/>
      <c r="K336" s="3"/>
      <c r="L336" s="3"/>
      <c r="M336" s="3"/>
      <c r="Q336" s="3"/>
      <c r="R336" s="3"/>
      <c r="S336" s="3"/>
      <c r="T336" s="3"/>
      <c r="U336" s="3"/>
      <c r="V336" s="3"/>
    </row>
    <row r="337" ht="15.75" customHeight="1">
      <c r="I337" s="3"/>
      <c r="J337" s="3"/>
      <c r="K337" s="3"/>
      <c r="L337" s="3"/>
      <c r="M337" s="3"/>
      <c r="Q337" s="3"/>
      <c r="R337" s="3"/>
      <c r="S337" s="3"/>
      <c r="T337" s="3"/>
      <c r="U337" s="3"/>
      <c r="V337" s="3"/>
    </row>
    <row r="338" ht="15.75" customHeight="1">
      <c r="I338" s="3"/>
      <c r="J338" s="3"/>
      <c r="K338" s="3"/>
      <c r="L338" s="3"/>
      <c r="M338" s="3"/>
      <c r="Q338" s="3"/>
      <c r="R338" s="3"/>
      <c r="S338" s="3"/>
      <c r="T338" s="3"/>
      <c r="U338" s="3"/>
      <c r="V338" s="3"/>
    </row>
    <row r="339" ht="15.75" customHeight="1">
      <c r="I339" s="3"/>
      <c r="J339" s="3"/>
      <c r="K339" s="3"/>
      <c r="L339" s="3"/>
      <c r="M339" s="3"/>
      <c r="Q339" s="3"/>
      <c r="R339" s="3"/>
      <c r="S339" s="3"/>
      <c r="T339" s="3"/>
      <c r="U339" s="3"/>
      <c r="V339" s="3"/>
    </row>
    <row r="340" ht="15.75" customHeight="1">
      <c r="I340" s="3"/>
      <c r="J340" s="3"/>
      <c r="K340" s="3"/>
      <c r="L340" s="3"/>
      <c r="M340" s="3"/>
      <c r="Q340" s="3"/>
      <c r="R340" s="3"/>
      <c r="S340" s="3"/>
      <c r="T340" s="3"/>
      <c r="U340" s="3"/>
      <c r="V340" s="3"/>
    </row>
    <row r="341" ht="15.75" customHeight="1">
      <c r="I341" s="3"/>
      <c r="J341" s="3"/>
      <c r="K341" s="3"/>
      <c r="L341" s="3"/>
      <c r="M341" s="3"/>
      <c r="Q341" s="3"/>
      <c r="R341" s="3"/>
      <c r="S341" s="3"/>
      <c r="T341" s="3"/>
      <c r="U341" s="3"/>
      <c r="V341" s="3"/>
    </row>
    <row r="342" ht="15.75" customHeight="1">
      <c r="I342" s="3"/>
      <c r="J342" s="3"/>
      <c r="K342" s="3"/>
      <c r="L342" s="3"/>
      <c r="M342" s="3"/>
      <c r="Q342" s="3"/>
      <c r="R342" s="3"/>
      <c r="S342" s="3"/>
      <c r="T342" s="3"/>
      <c r="U342" s="3"/>
      <c r="V342" s="3"/>
    </row>
    <row r="343" ht="15.75" customHeight="1">
      <c r="I343" s="3"/>
      <c r="J343" s="3"/>
      <c r="K343" s="3"/>
      <c r="L343" s="3"/>
      <c r="M343" s="3"/>
      <c r="Q343" s="3"/>
      <c r="R343" s="3"/>
      <c r="S343" s="3"/>
      <c r="T343" s="3"/>
      <c r="U343" s="3"/>
      <c r="V343" s="3"/>
    </row>
    <row r="344" ht="15.75" customHeight="1">
      <c r="I344" s="3"/>
      <c r="J344" s="3"/>
      <c r="K344" s="3"/>
      <c r="L344" s="3"/>
      <c r="M344" s="3"/>
      <c r="Q344" s="3"/>
      <c r="R344" s="3"/>
      <c r="S344" s="3"/>
      <c r="T344" s="3"/>
      <c r="U344" s="3"/>
      <c r="V344" s="3"/>
    </row>
    <row r="345" ht="15.75" customHeight="1">
      <c r="I345" s="3"/>
      <c r="J345" s="3"/>
      <c r="K345" s="3"/>
      <c r="L345" s="3"/>
      <c r="M345" s="3"/>
      <c r="Q345" s="3"/>
      <c r="R345" s="3"/>
      <c r="S345" s="3"/>
      <c r="T345" s="3"/>
      <c r="U345" s="3"/>
      <c r="V345" s="3"/>
    </row>
    <row r="346" ht="15.75" customHeight="1">
      <c r="I346" s="3"/>
      <c r="J346" s="3"/>
      <c r="K346" s="3"/>
      <c r="L346" s="3"/>
      <c r="M346" s="3"/>
      <c r="Q346" s="3"/>
      <c r="R346" s="3"/>
      <c r="S346" s="3"/>
      <c r="T346" s="3"/>
      <c r="U346" s="3"/>
      <c r="V346" s="3"/>
    </row>
    <row r="347" ht="15.75" customHeight="1">
      <c r="I347" s="3"/>
      <c r="J347" s="3"/>
      <c r="K347" s="3"/>
      <c r="L347" s="3"/>
      <c r="M347" s="3"/>
      <c r="Q347" s="3"/>
      <c r="R347" s="3"/>
      <c r="S347" s="3"/>
      <c r="T347" s="3"/>
      <c r="U347" s="3"/>
      <c r="V347" s="3"/>
    </row>
    <row r="348" ht="15.75" customHeight="1">
      <c r="I348" s="3"/>
      <c r="J348" s="3"/>
      <c r="K348" s="3"/>
      <c r="L348" s="3"/>
      <c r="M348" s="3"/>
      <c r="Q348" s="3"/>
      <c r="R348" s="3"/>
      <c r="S348" s="3"/>
      <c r="T348" s="3"/>
      <c r="U348" s="3"/>
      <c r="V348" s="3"/>
    </row>
    <row r="349" ht="15.75" customHeight="1">
      <c r="I349" s="3"/>
      <c r="J349" s="3"/>
      <c r="K349" s="3"/>
      <c r="L349" s="3"/>
      <c r="M349" s="3"/>
      <c r="Q349" s="3"/>
      <c r="R349" s="3"/>
      <c r="S349" s="3"/>
      <c r="T349" s="3"/>
      <c r="U349" s="3"/>
      <c r="V349" s="3"/>
    </row>
    <row r="350" ht="15.75" customHeight="1">
      <c r="I350" s="3"/>
      <c r="J350" s="3"/>
      <c r="K350" s="3"/>
      <c r="L350" s="3"/>
      <c r="M350" s="3"/>
      <c r="Q350" s="3"/>
      <c r="R350" s="3"/>
      <c r="S350" s="3"/>
      <c r="T350" s="3"/>
      <c r="U350" s="3"/>
      <c r="V350" s="3"/>
    </row>
    <row r="351" ht="15.75" customHeight="1">
      <c r="I351" s="3"/>
      <c r="J351" s="3"/>
      <c r="K351" s="3"/>
      <c r="L351" s="3"/>
      <c r="M351" s="3"/>
      <c r="Q351" s="3"/>
      <c r="R351" s="3"/>
      <c r="S351" s="3"/>
      <c r="T351" s="3"/>
      <c r="U351" s="3"/>
      <c r="V351" s="3"/>
    </row>
    <row r="352" ht="15.75" customHeight="1">
      <c r="I352" s="3"/>
      <c r="J352" s="3"/>
      <c r="K352" s="3"/>
      <c r="L352" s="3"/>
      <c r="M352" s="3"/>
      <c r="Q352" s="3"/>
      <c r="R352" s="3"/>
      <c r="S352" s="3"/>
      <c r="T352" s="3"/>
      <c r="U352" s="3"/>
      <c r="V352" s="3"/>
    </row>
    <row r="353" ht="15.75" customHeight="1">
      <c r="I353" s="3"/>
      <c r="J353" s="3"/>
      <c r="K353" s="3"/>
      <c r="L353" s="3"/>
      <c r="M353" s="3"/>
      <c r="Q353" s="3"/>
      <c r="R353" s="3"/>
      <c r="S353" s="3"/>
      <c r="T353" s="3"/>
      <c r="U353" s="3"/>
      <c r="V353" s="3"/>
    </row>
    <row r="354" ht="15.75" customHeight="1">
      <c r="I354" s="3"/>
      <c r="J354" s="3"/>
      <c r="K354" s="3"/>
      <c r="L354" s="3"/>
      <c r="M354" s="3"/>
      <c r="Q354" s="3"/>
      <c r="R354" s="3"/>
      <c r="S354" s="3"/>
      <c r="T354" s="3"/>
      <c r="U354" s="3"/>
      <c r="V354" s="3"/>
    </row>
    <row r="355" ht="15.75" customHeight="1">
      <c r="I355" s="3"/>
      <c r="J355" s="3"/>
      <c r="K355" s="3"/>
      <c r="L355" s="3"/>
      <c r="M355" s="3"/>
      <c r="Q355" s="3"/>
      <c r="R355" s="3"/>
      <c r="S355" s="3"/>
      <c r="T355" s="3"/>
      <c r="U355" s="3"/>
      <c r="V355" s="3"/>
    </row>
    <row r="356" ht="15.75" customHeight="1">
      <c r="I356" s="3"/>
      <c r="J356" s="3"/>
      <c r="K356" s="3"/>
      <c r="L356" s="3"/>
      <c r="M356" s="3"/>
      <c r="Q356" s="3"/>
      <c r="R356" s="3"/>
      <c r="S356" s="3"/>
      <c r="T356" s="3"/>
      <c r="U356" s="3"/>
      <c r="V356" s="3"/>
    </row>
    <row r="357" ht="15.75" customHeight="1">
      <c r="I357" s="3"/>
      <c r="J357" s="3"/>
      <c r="K357" s="3"/>
      <c r="L357" s="3"/>
      <c r="M357" s="3"/>
      <c r="Q357" s="3"/>
      <c r="R357" s="3"/>
      <c r="S357" s="3"/>
      <c r="T357" s="3"/>
      <c r="U357" s="3"/>
      <c r="V357" s="3"/>
    </row>
    <row r="358" ht="15.75" customHeight="1">
      <c r="I358" s="3"/>
      <c r="J358" s="3"/>
      <c r="K358" s="3"/>
      <c r="L358" s="3"/>
      <c r="M358" s="3"/>
      <c r="Q358" s="3"/>
      <c r="R358" s="3"/>
      <c r="S358" s="3"/>
      <c r="T358" s="3"/>
      <c r="U358" s="3"/>
      <c r="V358" s="3"/>
    </row>
    <row r="359" ht="15.75" customHeight="1">
      <c r="I359" s="3"/>
      <c r="J359" s="3"/>
      <c r="K359" s="3"/>
      <c r="L359" s="3"/>
      <c r="M359" s="3"/>
      <c r="Q359" s="3"/>
      <c r="R359" s="3"/>
      <c r="S359" s="3"/>
      <c r="T359" s="3"/>
      <c r="U359" s="3"/>
      <c r="V359" s="3"/>
    </row>
    <row r="360" ht="15.75" customHeight="1">
      <c r="I360" s="3"/>
      <c r="J360" s="3"/>
      <c r="K360" s="3"/>
      <c r="L360" s="3"/>
      <c r="M360" s="3"/>
      <c r="Q360" s="3"/>
      <c r="R360" s="3"/>
      <c r="S360" s="3"/>
      <c r="T360" s="3"/>
      <c r="U360" s="3"/>
      <c r="V360" s="3"/>
    </row>
    <row r="361" ht="15.75" customHeight="1">
      <c r="I361" s="3"/>
      <c r="J361" s="3"/>
      <c r="K361" s="3"/>
      <c r="L361" s="3"/>
      <c r="M361" s="3"/>
      <c r="Q361" s="3"/>
      <c r="R361" s="3"/>
      <c r="S361" s="3"/>
      <c r="T361" s="3"/>
      <c r="U361" s="3"/>
      <c r="V361" s="3"/>
    </row>
    <row r="362" ht="15.75" customHeight="1">
      <c r="I362" s="3"/>
      <c r="J362" s="3"/>
      <c r="K362" s="3"/>
      <c r="L362" s="3"/>
      <c r="M362" s="3"/>
      <c r="Q362" s="3"/>
      <c r="R362" s="3"/>
      <c r="S362" s="3"/>
      <c r="T362" s="3"/>
      <c r="U362" s="3"/>
      <c r="V362" s="3"/>
    </row>
    <row r="363" ht="15.75" customHeight="1">
      <c r="I363" s="3"/>
      <c r="J363" s="3"/>
      <c r="K363" s="3"/>
      <c r="L363" s="3"/>
      <c r="M363" s="3"/>
      <c r="Q363" s="3"/>
      <c r="R363" s="3"/>
      <c r="S363" s="3"/>
      <c r="T363" s="3"/>
      <c r="U363" s="3"/>
      <c r="V363" s="3"/>
    </row>
    <row r="364" ht="15.75" customHeight="1">
      <c r="I364" s="3"/>
      <c r="J364" s="3"/>
      <c r="K364" s="3"/>
      <c r="L364" s="3"/>
      <c r="M364" s="3"/>
      <c r="Q364" s="3"/>
      <c r="R364" s="3"/>
      <c r="S364" s="3"/>
      <c r="T364" s="3"/>
      <c r="U364" s="3"/>
      <c r="V364" s="3"/>
    </row>
    <row r="365" ht="15.75" customHeight="1">
      <c r="I365" s="3"/>
      <c r="J365" s="3"/>
      <c r="K365" s="3"/>
      <c r="L365" s="3"/>
      <c r="M365" s="3"/>
      <c r="Q365" s="3"/>
      <c r="R365" s="3"/>
      <c r="S365" s="3"/>
      <c r="T365" s="3"/>
      <c r="U365" s="3"/>
      <c r="V365" s="3"/>
    </row>
    <row r="366" ht="15.75" customHeight="1">
      <c r="I366" s="3"/>
      <c r="J366" s="3"/>
      <c r="K366" s="3"/>
      <c r="L366" s="3"/>
      <c r="M366" s="3"/>
      <c r="Q366" s="3"/>
      <c r="R366" s="3"/>
      <c r="S366" s="3"/>
      <c r="T366" s="3"/>
      <c r="U366" s="3"/>
      <c r="V366" s="3"/>
    </row>
    <row r="367" ht="15.75" customHeight="1">
      <c r="I367" s="3"/>
      <c r="J367" s="3"/>
      <c r="K367" s="3"/>
      <c r="L367" s="3"/>
      <c r="M367" s="3"/>
      <c r="Q367" s="3"/>
      <c r="R367" s="3"/>
      <c r="S367" s="3"/>
      <c r="T367" s="3"/>
      <c r="U367" s="3"/>
      <c r="V367" s="3"/>
    </row>
    <row r="368" ht="15.75" customHeight="1">
      <c r="I368" s="3"/>
      <c r="J368" s="3"/>
      <c r="K368" s="3"/>
      <c r="L368" s="3"/>
      <c r="M368" s="3"/>
      <c r="Q368" s="3"/>
      <c r="R368" s="3"/>
      <c r="S368" s="3"/>
      <c r="T368" s="3"/>
      <c r="U368" s="3"/>
      <c r="V368" s="3"/>
    </row>
    <row r="369" ht="15.75" customHeight="1">
      <c r="I369" s="3"/>
      <c r="J369" s="3"/>
      <c r="K369" s="3"/>
      <c r="L369" s="3"/>
      <c r="M369" s="3"/>
      <c r="Q369" s="3"/>
      <c r="R369" s="3"/>
      <c r="S369" s="3"/>
      <c r="T369" s="3"/>
      <c r="U369" s="3"/>
      <c r="V369" s="3"/>
    </row>
    <row r="370" ht="15.75" customHeight="1">
      <c r="I370" s="3"/>
      <c r="J370" s="3"/>
      <c r="K370" s="3"/>
      <c r="L370" s="3"/>
      <c r="M370" s="3"/>
      <c r="Q370" s="3"/>
      <c r="R370" s="3"/>
      <c r="S370" s="3"/>
      <c r="T370" s="3"/>
      <c r="U370" s="3"/>
      <c r="V370" s="3"/>
    </row>
    <row r="371" ht="15.75" customHeight="1">
      <c r="I371" s="3"/>
      <c r="J371" s="3"/>
      <c r="K371" s="3"/>
      <c r="L371" s="3"/>
      <c r="M371" s="3"/>
      <c r="Q371" s="3"/>
      <c r="R371" s="3"/>
      <c r="S371" s="3"/>
      <c r="T371" s="3"/>
      <c r="U371" s="3"/>
      <c r="V371" s="3"/>
    </row>
    <row r="372" ht="15.75" customHeight="1">
      <c r="I372" s="3"/>
      <c r="J372" s="3"/>
      <c r="K372" s="3"/>
      <c r="L372" s="3"/>
      <c r="M372" s="3"/>
      <c r="Q372" s="3"/>
      <c r="R372" s="3"/>
      <c r="S372" s="3"/>
      <c r="T372" s="3"/>
      <c r="U372" s="3"/>
      <c r="V372" s="3"/>
    </row>
    <row r="373" ht="15.75" customHeight="1">
      <c r="I373" s="3"/>
      <c r="J373" s="3"/>
      <c r="K373" s="3"/>
      <c r="L373" s="3"/>
      <c r="M373" s="3"/>
      <c r="Q373" s="3"/>
      <c r="R373" s="3"/>
      <c r="S373" s="3"/>
      <c r="T373" s="3"/>
      <c r="U373" s="3"/>
      <c r="V373" s="3"/>
    </row>
    <row r="374" ht="15.75" customHeight="1">
      <c r="I374" s="3"/>
      <c r="J374" s="3"/>
      <c r="K374" s="3"/>
      <c r="L374" s="3"/>
      <c r="M374" s="3"/>
      <c r="Q374" s="3"/>
      <c r="R374" s="3"/>
      <c r="S374" s="3"/>
      <c r="T374" s="3"/>
      <c r="U374" s="3"/>
      <c r="V374" s="3"/>
    </row>
    <row r="375" ht="15.75" customHeight="1">
      <c r="I375" s="3"/>
      <c r="J375" s="3"/>
      <c r="K375" s="3"/>
      <c r="L375" s="3"/>
      <c r="M375" s="3"/>
      <c r="Q375" s="3"/>
      <c r="R375" s="3"/>
      <c r="S375" s="3"/>
      <c r="T375" s="3"/>
      <c r="U375" s="3"/>
      <c r="V375" s="3"/>
    </row>
    <row r="376" ht="15.75" customHeight="1">
      <c r="I376" s="3"/>
      <c r="J376" s="3"/>
      <c r="K376" s="3"/>
      <c r="L376" s="3"/>
      <c r="M376" s="3"/>
      <c r="Q376" s="3"/>
      <c r="R376" s="3"/>
      <c r="S376" s="3"/>
      <c r="T376" s="3"/>
      <c r="U376" s="3"/>
      <c r="V376" s="3"/>
    </row>
    <row r="377" ht="15.75" customHeight="1">
      <c r="I377" s="3"/>
      <c r="J377" s="3"/>
      <c r="K377" s="3"/>
      <c r="L377" s="3"/>
      <c r="M377" s="3"/>
      <c r="Q377" s="3"/>
      <c r="R377" s="3"/>
      <c r="S377" s="3"/>
      <c r="T377" s="3"/>
      <c r="U377" s="3"/>
      <c r="V377" s="3"/>
    </row>
    <row r="378" ht="15.75" customHeight="1">
      <c r="I378" s="3"/>
      <c r="J378" s="3"/>
      <c r="K378" s="3"/>
      <c r="L378" s="3"/>
      <c r="M378" s="3"/>
      <c r="Q378" s="3"/>
      <c r="R378" s="3"/>
      <c r="S378" s="3"/>
      <c r="T378" s="3"/>
      <c r="U378" s="3"/>
      <c r="V378" s="3"/>
    </row>
    <row r="379" ht="15.75" customHeight="1">
      <c r="I379" s="3"/>
      <c r="J379" s="3"/>
      <c r="K379" s="3"/>
      <c r="L379" s="3"/>
      <c r="M379" s="3"/>
      <c r="Q379" s="3"/>
      <c r="R379" s="3"/>
      <c r="S379" s="3"/>
      <c r="T379" s="3"/>
      <c r="U379" s="3"/>
      <c r="V379" s="3"/>
    </row>
    <row r="380" ht="15.75" customHeight="1">
      <c r="I380" s="3"/>
      <c r="J380" s="3"/>
      <c r="K380" s="3"/>
      <c r="L380" s="3"/>
      <c r="M380" s="3"/>
      <c r="Q380" s="3"/>
      <c r="R380" s="3"/>
      <c r="S380" s="3"/>
      <c r="T380" s="3"/>
      <c r="U380" s="3"/>
      <c r="V380" s="3"/>
    </row>
    <row r="381" ht="15.75" customHeight="1">
      <c r="I381" s="3"/>
      <c r="J381" s="3"/>
      <c r="K381" s="3"/>
      <c r="L381" s="3"/>
      <c r="M381" s="3"/>
      <c r="Q381" s="3"/>
      <c r="R381" s="3"/>
      <c r="S381" s="3"/>
      <c r="T381" s="3"/>
      <c r="U381" s="3"/>
      <c r="V381" s="3"/>
    </row>
    <row r="382" ht="15.75" customHeight="1">
      <c r="I382" s="3"/>
      <c r="J382" s="3"/>
      <c r="K382" s="3"/>
      <c r="L382" s="3"/>
      <c r="M382" s="3"/>
      <c r="Q382" s="3"/>
      <c r="R382" s="3"/>
      <c r="S382" s="3"/>
      <c r="T382" s="3"/>
      <c r="U382" s="3"/>
      <c r="V382" s="3"/>
    </row>
    <row r="383" ht="15.75" customHeight="1">
      <c r="I383" s="3"/>
      <c r="J383" s="3"/>
      <c r="K383" s="3"/>
      <c r="L383" s="3"/>
      <c r="M383" s="3"/>
      <c r="Q383" s="3"/>
      <c r="R383" s="3"/>
      <c r="S383" s="3"/>
      <c r="T383" s="3"/>
      <c r="U383" s="3"/>
      <c r="V383" s="3"/>
    </row>
    <row r="384" ht="15.75" customHeight="1">
      <c r="I384" s="3"/>
      <c r="J384" s="3"/>
      <c r="K384" s="3"/>
      <c r="L384" s="3"/>
      <c r="M384" s="3"/>
      <c r="Q384" s="3"/>
      <c r="R384" s="3"/>
      <c r="S384" s="3"/>
      <c r="T384" s="3"/>
      <c r="U384" s="3"/>
      <c r="V384" s="3"/>
    </row>
    <row r="385" ht="15.75" customHeight="1">
      <c r="I385" s="3"/>
      <c r="J385" s="3"/>
      <c r="K385" s="3"/>
      <c r="L385" s="3"/>
      <c r="M385" s="3"/>
      <c r="Q385" s="3"/>
      <c r="R385" s="3"/>
      <c r="S385" s="3"/>
      <c r="T385" s="3"/>
      <c r="U385" s="3"/>
      <c r="V385" s="3"/>
    </row>
    <row r="386" ht="15.75" customHeight="1">
      <c r="I386" s="3"/>
      <c r="J386" s="3"/>
      <c r="K386" s="3"/>
      <c r="L386" s="3"/>
      <c r="M386" s="3"/>
      <c r="Q386" s="3"/>
      <c r="R386" s="3"/>
      <c r="S386" s="3"/>
      <c r="T386" s="3"/>
      <c r="U386" s="3"/>
      <c r="V386" s="3"/>
    </row>
    <row r="387" ht="15.75" customHeight="1">
      <c r="I387" s="3"/>
      <c r="J387" s="3"/>
      <c r="K387" s="3"/>
      <c r="L387" s="3"/>
      <c r="M387" s="3"/>
      <c r="Q387" s="3"/>
      <c r="R387" s="3"/>
      <c r="S387" s="3"/>
      <c r="T387" s="3"/>
      <c r="U387" s="3"/>
      <c r="V387" s="3"/>
    </row>
    <row r="388" ht="15.75" customHeight="1">
      <c r="I388" s="3"/>
      <c r="J388" s="3"/>
      <c r="K388" s="3"/>
      <c r="L388" s="3"/>
      <c r="M388" s="3"/>
      <c r="Q388" s="3"/>
      <c r="R388" s="3"/>
      <c r="S388" s="3"/>
      <c r="T388" s="3"/>
      <c r="U388" s="3"/>
      <c r="V388" s="3"/>
    </row>
    <row r="389" ht="15.75" customHeight="1">
      <c r="I389" s="3"/>
      <c r="J389" s="3"/>
      <c r="K389" s="3"/>
      <c r="L389" s="3"/>
      <c r="M389" s="3"/>
      <c r="Q389" s="3"/>
      <c r="R389" s="3"/>
      <c r="S389" s="3"/>
      <c r="T389" s="3"/>
      <c r="U389" s="3"/>
      <c r="V389" s="3"/>
    </row>
    <row r="390" ht="15.75" customHeight="1">
      <c r="I390" s="3"/>
      <c r="J390" s="3"/>
      <c r="K390" s="3"/>
      <c r="L390" s="3"/>
      <c r="M390" s="3"/>
      <c r="Q390" s="3"/>
      <c r="R390" s="3"/>
      <c r="S390" s="3"/>
      <c r="T390" s="3"/>
      <c r="U390" s="3"/>
      <c r="V390" s="3"/>
    </row>
    <row r="391" ht="15.75" customHeight="1">
      <c r="I391" s="3"/>
      <c r="J391" s="3"/>
      <c r="K391" s="3"/>
      <c r="L391" s="3"/>
      <c r="M391" s="3"/>
      <c r="Q391" s="3"/>
      <c r="R391" s="3"/>
      <c r="S391" s="3"/>
      <c r="T391" s="3"/>
      <c r="U391" s="3"/>
      <c r="V391" s="3"/>
    </row>
    <row r="392" ht="15.75" customHeight="1">
      <c r="I392" s="3"/>
      <c r="J392" s="3"/>
      <c r="K392" s="3"/>
      <c r="L392" s="3"/>
      <c r="M392" s="3"/>
      <c r="Q392" s="3"/>
      <c r="R392" s="3"/>
      <c r="S392" s="3"/>
      <c r="T392" s="3"/>
      <c r="U392" s="3"/>
      <c r="V392" s="3"/>
    </row>
    <row r="393" ht="15.75" customHeight="1">
      <c r="I393" s="3"/>
      <c r="J393" s="3"/>
      <c r="K393" s="3"/>
      <c r="L393" s="3"/>
      <c r="M393" s="3"/>
      <c r="Q393" s="3"/>
      <c r="R393" s="3"/>
      <c r="S393" s="3"/>
      <c r="T393" s="3"/>
      <c r="U393" s="3"/>
      <c r="V393" s="3"/>
    </row>
    <row r="394" ht="15.75" customHeight="1">
      <c r="I394" s="3"/>
      <c r="J394" s="3"/>
      <c r="K394" s="3"/>
      <c r="L394" s="3"/>
      <c r="M394" s="3"/>
      <c r="Q394" s="3"/>
      <c r="R394" s="3"/>
      <c r="S394" s="3"/>
      <c r="T394" s="3"/>
      <c r="U394" s="3"/>
      <c r="V394" s="3"/>
    </row>
    <row r="395" ht="15.75" customHeight="1">
      <c r="I395" s="3"/>
      <c r="J395" s="3"/>
      <c r="K395" s="3"/>
      <c r="L395" s="3"/>
      <c r="M395" s="3"/>
      <c r="Q395" s="3"/>
      <c r="R395" s="3"/>
      <c r="S395" s="3"/>
      <c r="T395" s="3"/>
      <c r="U395" s="3"/>
      <c r="V395" s="3"/>
    </row>
    <row r="396" ht="15.75" customHeight="1">
      <c r="I396" s="3"/>
      <c r="J396" s="3"/>
      <c r="K396" s="3"/>
      <c r="L396" s="3"/>
      <c r="M396" s="3"/>
      <c r="Q396" s="3"/>
      <c r="R396" s="3"/>
      <c r="S396" s="3"/>
      <c r="T396" s="3"/>
      <c r="U396" s="3"/>
      <c r="V396" s="3"/>
    </row>
    <row r="397" ht="15.75" customHeight="1">
      <c r="I397" s="3"/>
      <c r="J397" s="3"/>
      <c r="K397" s="3"/>
      <c r="L397" s="3"/>
      <c r="M397" s="3"/>
      <c r="Q397" s="3"/>
      <c r="R397" s="3"/>
      <c r="S397" s="3"/>
      <c r="T397" s="3"/>
      <c r="U397" s="3"/>
      <c r="V397" s="3"/>
    </row>
    <row r="398" ht="15.75" customHeight="1">
      <c r="I398" s="3"/>
      <c r="J398" s="3"/>
      <c r="K398" s="3"/>
      <c r="L398" s="3"/>
      <c r="M398" s="3"/>
      <c r="Q398" s="3"/>
      <c r="R398" s="3"/>
      <c r="S398" s="3"/>
      <c r="T398" s="3"/>
      <c r="U398" s="3"/>
      <c r="V398" s="3"/>
    </row>
    <row r="399" ht="15.75" customHeight="1">
      <c r="I399" s="3"/>
      <c r="J399" s="3"/>
      <c r="K399" s="3"/>
      <c r="L399" s="3"/>
      <c r="M399" s="3"/>
      <c r="Q399" s="3"/>
      <c r="R399" s="3"/>
      <c r="S399" s="3"/>
      <c r="T399" s="3"/>
      <c r="U399" s="3"/>
      <c r="V399" s="3"/>
    </row>
    <row r="400" ht="15.75" customHeight="1">
      <c r="I400" s="3"/>
      <c r="J400" s="3"/>
      <c r="K400" s="3"/>
      <c r="L400" s="3"/>
      <c r="M400" s="3"/>
      <c r="Q400" s="3"/>
      <c r="R400" s="3"/>
      <c r="S400" s="3"/>
      <c r="T400" s="3"/>
      <c r="U400" s="3"/>
      <c r="V400" s="3"/>
    </row>
    <row r="401" ht="15.75" customHeight="1">
      <c r="I401" s="3"/>
      <c r="J401" s="3"/>
      <c r="K401" s="3"/>
      <c r="L401" s="3"/>
      <c r="M401" s="3"/>
      <c r="Q401" s="3"/>
      <c r="R401" s="3"/>
      <c r="S401" s="3"/>
      <c r="T401" s="3"/>
      <c r="U401" s="3"/>
      <c r="V401" s="3"/>
    </row>
    <row r="402" ht="15.75" customHeight="1">
      <c r="I402" s="3"/>
      <c r="J402" s="3"/>
      <c r="K402" s="3"/>
      <c r="L402" s="3"/>
      <c r="M402" s="3"/>
      <c r="Q402" s="3"/>
      <c r="R402" s="3"/>
      <c r="S402" s="3"/>
      <c r="T402" s="3"/>
      <c r="U402" s="3"/>
      <c r="V402" s="3"/>
    </row>
    <row r="403" ht="15.75" customHeight="1">
      <c r="I403" s="3"/>
      <c r="J403" s="3"/>
      <c r="K403" s="3"/>
      <c r="L403" s="3"/>
      <c r="M403" s="3"/>
      <c r="Q403" s="3"/>
      <c r="R403" s="3"/>
      <c r="S403" s="3"/>
      <c r="T403" s="3"/>
      <c r="U403" s="3"/>
      <c r="V403" s="3"/>
    </row>
    <row r="404" ht="15.75" customHeight="1">
      <c r="I404" s="3"/>
      <c r="J404" s="3"/>
      <c r="K404" s="3"/>
      <c r="L404" s="3"/>
      <c r="M404" s="3"/>
      <c r="Q404" s="3"/>
      <c r="R404" s="3"/>
      <c r="S404" s="3"/>
      <c r="T404" s="3"/>
      <c r="U404" s="3"/>
      <c r="V404" s="3"/>
    </row>
    <row r="405" ht="15.75" customHeight="1">
      <c r="I405" s="3"/>
      <c r="J405" s="3"/>
      <c r="K405" s="3"/>
      <c r="L405" s="3"/>
      <c r="M405" s="3"/>
      <c r="Q405" s="3"/>
      <c r="R405" s="3"/>
      <c r="S405" s="3"/>
      <c r="T405" s="3"/>
      <c r="U405" s="3"/>
      <c r="V405" s="3"/>
    </row>
    <row r="406" ht="15.75" customHeight="1">
      <c r="I406" s="3"/>
      <c r="J406" s="3"/>
      <c r="K406" s="3"/>
      <c r="L406" s="3"/>
      <c r="M406" s="3"/>
      <c r="Q406" s="3"/>
      <c r="R406" s="3"/>
      <c r="S406" s="3"/>
      <c r="T406" s="3"/>
      <c r="U406" s="3"/>
      <c r="V406" s="3"/>
    </row>
    <row r="407" ht="15.75" customHeight="1">
      <c r="I407" s="3"/>
      <c r="J407" s="3"/>
      <c r="K407" s="3"/>
      <c r="L407" s="3"/>
      <c r="M407" s="3"/>
      <c r="Q407" s="3"/>
      <c r="R407" s="3"/>
      <c r="S407" s="3"/>
      <c r="T407" s="3"/>
      <c r="U407" s="3"/>
      <c r="V407" s="3"/>
    </row>
    <row r="408" ht="15.75" customHeight="1">
      <c r="I408" s="3"/>
      <c r="J408" s="3"/>
      <c r="K408" s="3"/>
      <c r="L408" s="3"/>
      <c r="M408" s="3"/>
      <c r="Q408" s="3"/>
      <c r="R408" s="3"/>
      <c r="S408" s="3"/>
      <c r="T408" s="3"/>
      <c r="U408" s="3"/>
      <c r="V408" s="3"/>
    </row>
    <row r="409" ht="15.75" customHeight="1">
      <c r="I409" s="3"/>
      <c r="J409" s="3"/>
      <c r="K409" s="3"/>
      <c r="L409" s="3"/>
      <c r="M409" s="3"/>
      <c r="Q409" s="3"/>
      <c r="R409" s="3"/>
      <c r="S409" s="3"/>
      <c r="T409" s="3"/>
      <c r="U409" s="3"/>
      <c r="V409" s="3"/>
    </row>
    <row r="410" ht="15.75" customHeight="1">
      <c r="I410" s="3"/>
      <c r="J410" s="3"/>
      <c r="K410" s="3"/>
      <c r="L410" s="3"/>
      <c r="M410" s="3"/>
      <c r="Q410" s="3"/>
      <c r="R410" s="3"/>
      <c r="S410" s="3"/>
      <c r="T410" s="3"/>
      <c r="U410" s="3"/>
      <c r="V410" s="3"/>
    </row>
    <row r="411" ht="15.75" customHeight="1">
      <c r="I411" s="3"/>
      <c r="J411" s="3"/>
      <c r="K411" s="3"/>
      <c r="L411" s="3"/>
      <c r="M411" s="3"/>
      <c r="Q411" s="3"/>
      <c r="R411" s="3"/>
      <c r="S411" s="3"/>
      <c r="T411" s="3"/>
      <c r="U411" s="3"/>
      <c r="V411" s="3"/>
    </row>
    <row r="412" ht="15.75" customHeight="1">
      <c r="I412" s="3"/>
      <c r="J412" s="3"/>
      <c r="K412" s="3"/>
      <c r="L412" s="3"/>
      <c r="M412" s="3"/>
      <c r="Q412" s="3"/>
      <c r="R412" s="3"/>
      <c r="S412" s="3"/>
      <c r="T412" s="3"/>
      <c r="U412" s="3"/>
      <c r="V412" s="3"/>
    </row>
    <row r="413" ht="15.75" customHeight="1">
      <c r="I413" s="3"/>
      <c r="J413" s="3"/>
      <c r="K413" s="3"/>
      <c r="L413" s="3"/>
      <c r="M413" s="3"/>
      <c r="Q413" s="3"/>
      <c r="R413" s="3"/>
      <c r="S413" s="3"/>
      <c r="T413" s="3"/>
      <c r="U413" s="3"/>
      <c r="V413" s="3"/>
    </row>
    <row r="414" ht="15.75" customHeight="1">
      <c r="I414" s="3"/>
      <c r="J414" s="3"/>
      <c r="K414" s="3"/>
      <c r="L414" s="3"/>
      <c r="M414" s="3"/>
      <c r="Q414" s="3"/>
      <c r="R414" s="3"/>
      <c r="S414" s="3"/>
      <c r="T414" s="3"/>
      <c r="U414" s="3"/>
      <c r="V414" s="3"/>
    </row>
    <row r="415" ht="15.75" customHeight="1">
      <c r="I415" s="3"/>
      <c r="J415" s="3"/>
      <c r="K415" s="3"/>
      <c r="L415" s="3"/>
      <c r="M415" s="3"/>
      <c r="Q415" s="3"/>
      <c r="R415" s="3"/>
      <c r="S415" s="3"/>
      <c r="T415" s="3"/>
      <c r="U415" s="3"/>
      <c r="V415" s="3"/>
    </row>
    <row r="416" ht="15.75" customHeight="1">
      <c r="I416" s="3"/>
      <c r="J416" s="3"/>
      <c r="K416" s="3"/>
      <c r="L416" s="3"/>
      <c r="M416" s="3"/>
      <c r="Q416" s="3"/>
      <c r="R416" s="3"/>
      <c r="S416" s="3"/>
      <c r="T416" s="3"/>
      <c r="U416" s="3"/>
      <c r="V416" s="3"/>
    </row>
    <row r="417" ht="15.75" customHeight="1">
      <c r="I417" s="3"/>
      <c r="J417" s="3"/>
      <c r="K417" s="3"/>
      <c r="L417" s="3"/>
      <c r="M417" s="3"/>
      <c r="Q417" s="3"/>
      <c r="R417" s="3"/>
      <c r="S417" s="3"/>
      <c r="T417" s="3"/>
      <c r="U417" s="3"/>
      <c r="V417" s="3"/>
    </row>
    <row r="418" ht="15.75" customHeight="1">
      <c r="I418" s="3"/>
      <c r="J418" s="3"/>
      <c r="K418" s="3"/>
      <c r="L418" s="3"/>
      <c r="M418" s="3"/>
      <c r="Q418" s="3"/>
      <c r="R418" s="3"/>
      <c r="S418" s="3"/>
      <c r="T418" s="3"/>
      <c r="U418" s="3"/>
      <c r="V418" s="3"/>
    </row>
    <row r="419" ht="15.75" customHeight="1">
      <c r="I419" s="3"/>
      <c r="J419" s="3"/>
      <c r="K419" s="3"/>
      <c r="L419" s="3"/>
      <c r="M419" s="3"/>
      <c r="Q419" s="3"/>
      <c r="R419" s="3"/>
      <c r="S419" s="3"/>
      <c r="T419" s="3"/>
      <c r="U419" s="3"/>
      <c r="V419" s="3"/>
    </row>
    <row r="420" ht="15.75" customHeight="1">
      <c r="I420" s="3"/>
      <c r="J420" s="3"/>
      <c r="K420" s="3"/>
      <c r="L420" s="3"/>
      <c r="M420" s="3"/>
      <c r="Q420" s="3"/>
      <c r="R420" s="3"/>
      <c r="S420" s="3"/>
      <c r="T420" s="3"/>
      <c r="U420" s="3"/>
      <c r="V420" s="3"/>
    </row>
    <row r="421" ht="15.75" customHeight="1">
      <c r="I421" s="3"/>
      <c r="J421" s="3"/>
      <c r="K421" s="3"/>
      <c r="L421" s="3"/>
      <c r="M421" s="3"/>
      <c r="Q421" s="3"/>
      <c r="R421" s="3"/>
      <c r="S421" s="3"/>
      <c r="T421" s="3"/>
      <c r="U421" s="3"/>
      <c r="V421" s="3"/>
    </row>
    <row r="422" ht="15.75" customHeight="1">
      <c r="I422" s="3"/>
      <c r="J422" s="3"/>
      <c r="K422" s="3"/>
      <c r="L422" s="3"/>
      <c r="M422" s="3"/>
      <c r="Q422" s="3"/>
      <c r="R422" s="3"/>
      <c r="S422" s="3"/>
      <c r="T422" s="3"/>
      <c r="U422" s="3"/>
      <c r="V422" s="3"/>
    </row>
    <row r="423" ht="15.75" customHeight="1">
      <c r="I423" s="3"/>
      <c r="J423" s="3"/>
      <c r="K423" s="3"/>
      <c r="L423" s="3"/>
      <c r="M423" s="3"/>
      <c r="Q423" s="3"/>
      <c r="R423" s="3"/>
      <c r="S423" s="3"/>
      <c r="T423" s="3"/>
      <c r="U423" s="3"/>
      <c r="V423" s="3"/>
    </row>
    <row r="424" ht="15.75" customHeight="1">
      <c r="I424" s="3"/>
      <c r="J424" s="3"/>
      <c r="K424" s="3"/>
      <c r="L424" s="3"/>
      <c r="M424" s="3"/>
      <c r="Q424" s="3"/>
      <c r="R424" s="3"/>
      <c r="S424" s="3"/>
      <c r="T424" s="3"/>
      <c r="U424" s="3"/>
      <c r="V424" s="3"/>
    </row>
    <row r="425" ht="15.75" customHeight="1">
      <c r="I425" s="3"/>
      <c r="J425" s="3"/>
      <c r="K425" s="3"/>
      <c r="L425" s="3"/>
      <c r="M425" s="3"/>
      <c r="Q425" s="3"/>
      <c r="R425" s="3"/>
      <c r="S425" s="3"/>
      <c r="T425" s="3"/>
      <c r="U425" s="3"/>
      <c r="V425" s="3"/>
    </row>
    <row r="426" ht="15.75" customHeight="1">
      <c r="I426" s="3"/>
      <c r="J426" s="3"/>
      <c r="K426" s="3"/>
      <c r="L426" s="3"/>
      <c r="M426" s="3"/>
      <c r="Q426" s="3"/>
      <c r="R426" s="3"/>
      <c r="S426" s="3"/>
      <c r="T426" s="3"/>
      <c r="U426" s="3"/>
      <c r="V426" s="3"/>
    </row>
    <row r="427" ht="15.75" customHeight="1">
      <c r="I427" s="3"/>
      <c r="J427" s="3"/>
      <c r="K427" s="3"/>
      <c r="L427" s="3"/>
      <c r="M427" s="3"/>
      <c r="Q427" s="3"/>
      <c r="R427" s="3"/>
      <c r="S427" s="3"/>
      <c r="T427" s="3"/>
      <c r="U427" s="3"/>
      <c r="V427" s="3"/>
    </row>
    <row r="428" ht="15.75" customHeight="1">
      <c r="I428" s="3"/>
      <c r="J428" s="3"/>
      <c r="K428" s="3"/>
      <c r="L428" s="3"/>
      <c r="M428" s="3"/>
      <c r="Q428" s="3"/>
      <c r="R428" s="3"/>
      <c r="S428" s="3"/>
      <c r="T428" s="3"/>
      <c r="U428" s="3"/>
      <c r="V428" s="3"/>
    </row>
    <row r="429" ht="15.75" customHeight="1">
      <c r="I429" s="3"/>
      <c r="J429" s="3"/>
      <c r="K429" s="3"/>
      <c r="L429" s="3"/>
      <c r="M429" s="3"/>
      <c r="Q429" s="3"/>
      <c r="R429" s="3"/>
      <c r="S429" s="3"/>
      <c r="T429" s="3"/>
      <c r="U429" s="3"/>
      <c r="V429" s="3"/>
    </row>
    <row r="430" ht="15.75" customHeight="1">
      <c r="I430" s="3"/>
      <c r="J430" s="3"/>
      <c r="K430" s="3"/>
      <c r="L430" s="3"/>
      <c r="M430" s="3"/>
      <c r="Q430" s="3"/>
      <c r="R430" s="3"/>
      <c r="S430" s="3"/>
      <c r="T430" s="3"/>
      <c r="U430" s="3"/>
      <c r="V430" s="3"/>
    </row>
    <row r="431" ht="15.75" customHeight="1">
      <c r="I431" s="3"/>
      <c r="J431" s="3"/>
      <c r="K431" s="3"/>
      <c r="L431" s="3"/>
      <c r="M431" s="3"/>
      <c r="Q431" s="3"/>
      <c r="R431" s="3"/>
      <c r="S431" s="3"/>
      <c r="T431" s="3"/>
      <c r="U431" s="3"/>
      <c r="V431" s="3"/>
    </row>
    <row r="432" ht="15.75" customHeight="1">
      <c r="I432" s="3"/>
      <c r="J432" s="3"/>
      <c r="K432" s="3"/>
      <c r="L432" s="3"/>
      <c r="M432" s="3"/>
      <c r="Q432" s="3"/>
      <c r="R432" s="3"/>
      <c r="S432" s="3"/>
      <c r="T432" s="3"/>
      <c r="U432" s="3"/>
      <c r="V432" s="3"/>
    </row>
    <row r="433" ht="15.75" customHeight="1">
      <c r="I433" s="3"/>
      <c r="J433" s="3"/>
      <c r="K433" s="3"/>
      <c r="L433" s="3"/>
      <c r="M433" s="3"/>
      <c r="Q433" s="3"/>
      <c r="R433" s="3"/>
      <c r="S433" s="3"/>
      <c r="T433" s="3"/>
      <c r="U433" s="3"/>
      <c r="V433" s="3"/>
    </row>
    <row r="434" ht="15.75" customHeight="1">
      <c r="I434" s="3"/>
      <c r="J434" s="3"/>
      <c r="K434" s="3"/>
      <c r="L434" s="3"/>
      <c r="M434" s="3"/>
      <c r="Q434" s="3"/>
      <c r="R434" s="3"/>
      <c r="S434" s="3"/>
      <c r="T434" s="3"/>
      <c r="U434" s="3"/>
      <c r="V434" s="3"/>
    </row>
    <row r="435" ht="15.75" customHeight="1">
      <c r="I435" s="3"/>
      <c r="J435" s="3"/>
      <c r="K435" s="3"/>
      <c r="L435" s="3"/>
      <c r="M435" s="3"/>
      <c r="Q435" s="3"/>
      <c r="R435" s="3"/>
      <c r="S435" s="3"/>
      <c r="T435" s="3"/>
      <c r="U435" s="3"/>
      <c r="V435" s="3"/>
    </row>
    <row r="436" ht="15.75" customHeight="1">
      <c r="I436" s="3"/>
      <c r="J436" s="3"/>
      <c r="K436" s="3"/>
      <c r="L436" s="3"/>
      <c r="M436" s="3"/>
      <c r="Q436" s="3"/>
      <c r="R436" s="3"/>
      <c r="S436" s="3"/>
      <c r="T436" s="3"/>
      <c r="U436" s="3"/>
      <c r="V436" s="3"/>
    </row>
    <row r="437" ht="15.75" customHeight="1">
      <c r="I437" s="3"/>
      <c r="J437" s="3"/>
      <c r="K437" s="3"/>
      <c r="L437" s="3"/>
      <c r="M437" s="3"/>
      <c r="Q437" s="3"/>
      <c r="R437" s="3"/>
      <c r="S437" s="3"/>
      <c r="T437" s="3"/>
      <c r="U437" s="3"/>
      <c r="V437" s="3"/>
    </row>
    <row r="438" ht="15.75" customHeight="1">
      <c r="I438" s="3"/>
      <c r="J438" s="3"/>
      <c r="K438" s="3"/>
      <c r="L438" s="3"/>
      <c r="M438" s="3"/>
      <c r="Q438" s="3"/>
      <c r="R438" s="3"/>
      <c r="S438" s="3"/>
      <c r="T438" s="3"/>
      <c r="U438" s="3"/>
      <c r="V438" s="3"/>
    </row>
    <row r="439" ht="15.75" customHeight="1">
      <c r="I439" s="3"/>
      <c r="J439" s="3"/>
      <c r="K439" s="3"/>
      <c r="L439" s="3"/>
      <c r="M439" s="3"/>
      <c r="Q439" s="3"/>
      <c r="R439" s="3"/>
      <c r="S439" s="3"/>
      <c r="T439" s="3"/>
      <c r="U439" s="3"/>
      <c r="V439" s="3"/>
    </row>
    <row r="440" ht="15.75" customHeight="1">
      <c r="I440" s="3"/>
      <c r="J440" s="3"/>
      <c r="K440" s="3"/>
      <c r="L440" s="3"/>
      <c r="M440" s="3"/>
      <c r="Q440" s="3"/>
      <c r="R440" s="3"/>
      <c r="S440" s="3"/>
      <c r="T440" s="3"/>
      <c r="U440" s="3"/>
      <c r="V440" s="3"/>
    </row>
    <row r="441" ht="15.75" customHeight="1">
      <c r="I441" s="3"/>
      <c r="J441" s="3"/>
      <c r="K441" s="3"/>
      <c r="L441" s="3"/>
      <c r="M441" s="3"/>
      <c r="Q441" s="3"/>
      <c r="R441" s="3"/>
      <c r="S441" s="3"/>
      <c r="T441" s="3"/>
      <c r="U441" s="3"/>
      <c r="V441" s="3"/>
    </row>
    <row r="442" ht="15.75" customHeight="1">
      <c r="I442" s="3"/>
      <c r="J442" s="3"/>
      <c r="K442" s="3"/>
      <c r="L442" s="3"/>
      <c r="M442" s="3"/>
      <c r="Q442" s="3"/>
      <c r="R442" s="3"/>
      <c r="S442" s="3"/>
      <c r="T442" s="3"/>
      <c r="U442" s="3"/>
      <c r="V442" s="3"/>
    </row>
    <row r="443" ht="15.75" customHeight="1">
      <c r="I443" s="3"/>
      <c r="J443" s="3"/>
      <c r="K443" s="3"/>
      <c r="L443" s="3"/>
      <c r="M443" s="3"/>
      <c r="Q443" s="3"/>
      <c r="R443" s="3"/>
      <c r="S443" s="3"/>
      <c r="T443" s="3"/>
      <c r="U443" s="3"/>
      <c r="V443" s="3"/>
    </row>
    <row r="444" ht="15.75" customHeight="1">
      <c r="I444" s="3"/>
      <c r="J444" s="3"/>
      <c r="K444" s="3"/>
      <c r="L444" s="3"/>
      <c r="M444" s="3"/>
      <c r="Q444" s="3"/>
      <c r="R444" s="3"/>
      <c r="S444" s="3"/>
      <c r="T444" s="3"/>
      <c r="U444" s="3"/>
      <c r="V444" s="3"/>
    </row>
    <row r="445" ht="15.75" customHeight="1">
      <c r="I445" s="3"/>
      <c r="J445" s="3"/>
      <c r="K445" s="3"/>
      <c r="L445" s="3"/>
      <c r="M445" s="3"/>
      <c r="Q445" s="3"/>
      <c r="R445" s="3"/>
      <c r="S445" s="3"/>
      <c r="T445" s="3"/>
      <c r="U445" s="3"/>
      <c r="V445" s="3"/>
    </row>
    <row r="446" ht="15.75" customHeight="1">
      <c r="I446" s="3"/>
      <c r="J446" s="3"/>
      <c r="K446" s="3"/>
      <c r="L446" s="3"/>
      <c r="M446" s="3"/>
      <c r="Q446" s="3"/>
      <c r="R446" s="3"/>
      <c r="S446" s="3"/>
      <c r="T446" s="3"/>
      <c r="U446" s="3"/>
      <c r="V446" s="3"/>
    </row>
    <row r="447" ht="15.75" customHeight="1">
      <c r="I447" s="3"/>
      <c r="J447" s="3"/>
      <c r="K447" s="3"/>
      <c r="L447" s="3"/>
      <c r="M447" s="3"/>
      <c r="Q447" s="3"/>
      <c r="R447" s="3"/>
      <c r="S447" s="3"/>
      <c r="T447" s="3"/>
      <c r="U447" s="3"/>
      <c r="V447" s="3"/>
    </row>
    <row r="448" ht="15.75" customHeight="1">
      <c r="I448" s="3"/>
      <c r="J448" s="3"/>
      <c r="K448" s="3"/>
      <c r="L448" s="3"/>
      <c r="M448" s="3"/>
      <c r="Q448" s="3"/>
      <c r="R448" s="3"/>
      <c r="S448" s="3"/>
      <c r="T448" s="3"/>
      <c r="U448" s="3"/>
      <c r="V448" s="3"/>
    </row>
    <row r="449" ht="15.75" customHeight="1">
      <c r="I449" s="3"/>
      <c r="J449" s="3"/>
      <c r="K449" s="3"/>
      <c r="L449" s="3"/>
      <c r="M449" s="3"/>
      <c r="Q449" s="3"/>
      <c r="R449" s="3"/>
      <c r="S449" s="3"/>
      <c r="T449" s="3"/>
      <c r="U449" s="3"/>
      <c r="V449" s="3"/>
    </row>
    <row r="450" ht="15.75" customHeight="1">
      <c r="I450" s="3"/>
      <c r="J450" s="3"/>
      <c r="K450" s="3"/>
      <c r="L450" s="3"/>
      <c r="M450" s="3"/>
      <c r="Q450" s="3"/>
      <c r="R450" s="3"/>
      <c r="S450" s="3"/>
      <c r="T450" s="3"/>
      <c r="U450" s="3"/>
      <c r="V450" s="3"/>
    </row>
    <row r="451" ht="15.75" customHeight="1">
      <c r="I451" s="3"/>
      <c r="J451" s="3"/>
      <c r="K451" s="3"/>
      <c r="L451" s="3"/>
      <c r="M451" s="3"/>
      <c r="Q451" s="3"/>
      <c r="R451" s="3"/>
      <c r="S451" s="3"/>
      <c r="T451" s="3"/>
      <c r="U451" s="3"/>
      <c r="V451" s="3"/>
    </row>
    <row r="452" ht="15.75" customHeight="1">
      <c r="I452" s="3"/>
      <c r="J452" s="3"/>
      <c r="K452" s="3"/>
      <c r="L452" s="3"/>
      <c r="M452" s="3"/>
      <c r="Q452" s="3"/>
      <c r="R452" s="3"/>
      <c r="S452" s="3"/>
      <c r="T452" s="3"/>
      <c r="U452" s="3"/>
      <c r="V452" s="3"/>
    </row>
    <row r="453" ht="15.75" customHeight="1">
      <c r="I453" s="3"/>
      <c r="J453" s="3"/>
      <c r="K453" s="3"/>
      <c r="L453" s="3"/>
      <c r="M453" s="3"/>
      <c r="Q453" s="3"/>
      <c r="R453" s="3"/>
      <c r="S453" s="3"/>
      <c r="T453" s="3"/>
      <c r="U453" s="3"/>
      <c r="V453" s="3"/>
    </row>
    <row r="454" ht="15.75" customHeight="1">
      <c r="I454" s="3"/>
      <c r="J454" s="3"/>
      <c r="K454" s="3"/>
      <c r="L454" s="3"/>
      <c r="M454" s="3"/>
      <c r="Q454" s="3"/>
      <c r="R454" s="3"/>
      <c r="S454" s="3"/>
      <c r="T454" s="3"/>
      <c r="U454" s="3"/>
      <c r="V454" s="3"/>
    </row>
    <row r="455" ht="15.75" customHeight="1">
      <c r="I455" s="3"/>
      <c r="J455" s="3"/>
      <c r="K455" s="3"/>
      <c r="L455" s="3"/>
      <c r="M455" s="3"/>
      <c r="Q455" s="3"/>
      <c r="R455" s="3"/>
      <c r="S455" s="3"/>
      <c r="T455" s="3"/>
      <c r="U455" s="3"/>
      <c r="V455" s="3"/>
    </row>
    <row r="456" ht="15.75" customHeight="1">
      <c r="I456" s="3"/>
      <c r="J456" s="3"/>
      <c r="K456" s="3"/>
      <c r="L456" s="3"/>
      <c r="M456" s="3"/>
      <c r="Q456" s="3"/>
      <c r="R456" s="3"/>
      <c r="S456" s="3"/>
      <c r="T456" s="3"/>
      <c r="U456" s="3"/>
      <c r="V456" s="3"/>
    </row>
    <row r="457" ht="15.75" customHeight="1">
      <c r="I457" s="3"/>
      <c r="J457" s="3"/>
      <c r="K457" s="3"/>
      <c r="L457" s="3"/>
      <c r="M457" s="3"/>
      <c r="Q457" s="3"/>
      <c r="R457" s="3"/>
      <c r="S457" s="3"/>
      <c r="T457" s="3"/>
      <c r="U457" s="3"/>
      <c r="V457" s="3"/>
    </row>
    <row r="458" ht="15.75" customHeight="1">
      <c r="I458" s="3"/>
      <c r="J458" s="3"/>
      <c r="K458" s="3"/>
      <c r="L458" s="3"/>
      <c r="M458" s="3"/>
      <c r="Q458" s="3"/>
      <c r="R458" s="3"/>
      <c r="S458" s="3"/>
      <c r="T458" s="3"/>
      <c r="U458" s="3"/>
      <c r="V458" s="3"/>
    </row>
    <row r="459" ht="15.75" customHeight="1">
      <c r="I459" s="3"/>
      <c r="J459" s="3"/>
      <c r="K459" s="3"/>
      <c r="L459" s="3"/>
      <c r="M459" s="3"/>
      <c r="Q459" s="3"/>
      <c r="R459" s="3"/>
      <c r="S459" s="3"/>
      <c r="T459" s="3"/>
      <c r="U459" s="3"/>
      <c r="V459" s="3"/>
    </row>
    <row r="460" ht="15.75" customHeight="1">
      <c r="I460" s="3"/>
      <c r="J460" s="3"/>
      <c r="K460" s="3"/>
      <c r="L460" s="3"/>
      <c r="M460" s="3"/>
      <c r="Q460" s="3"/>
      <c r="R460" s="3"/>
      <c r="S460" s="3"/>
      <c r="T460" s="3"/>
      <c r="U460" s="3"/>
      <c r="V460" s="3"/>
    </row>
    <row r="461" ht="15.75" customHeight="1">
      <c r="I461" s="3"/>
      <c r="J461" s="3"/>
      <c r="K461" s="3"/>
      <c r="L461" s="3"/>
      <c r="M461" s="3"/>
      <c r="Q461" s="3"/>
      <c r="R461" s="3"/>
      <c r="S461" s="3"/>
      <c r="T461" s="3"/>
      <c r="U461" s="3"/>
      <c r="V461" s="3"/>
    </row>
    <row r="462" ht="15.75" customHeight="1">
      <c r="I462" s="3"/>
      <c r="J462" s="3"/>
      <c r="K462" s="3"/>
      <c r="L462" s="3"/>
      <c r="M462" s="3"/>
      <c r="Q462" s="3"/>
      <c r="R462" s="3"/>
      <c r="S462" s="3"/>
      <c r="T462" s="3"/>
      <c r="U462" s="3"/>
      <c r="V462" s="3"/>
    </row>
    <row r="463" ht="15.75" customHeight="1">
      <c r="I463" s="3"/>
      <c r="J463" s="3"/>
      <c r="K463" s="3"/>
      <c r="L463" s="3"/>
      <c r="M463" s="3"/>
      <c r="Q463" s="3"/>
      <c r="R463" s="3"/>
      <c r="S463" s="3"/>
      <c r="T463" s="3"/>
      <c r="U463" s="3"/>
      <c r="V463" s="3"/>
    </row>
    <row r="464" ht="15.75" customHeight="1">
      <c r="I464" s="3"/>
      <c r="J464" s="3"/>
      <c r="K464" s="3"/>
      <c r="L464" s="3"/>
      <c r="M464" s="3"/>
      <c r="Q464" s="3"/>
      <c r="R464" s="3"/>
      <c r="S464" s="3"/>
      <c r="T464" s="3"/>
      <c r="U464" s="3"/>
      <c r="V464" s="3"/>
    </row>
    <row r="465" ht="15.75" customHeight="1">
      <c r="I465" s="3"/>
      <c r="J465" s="3"/>
      <c r="K465" s="3"/>
      <c r="L465" s="3"/>
      <c r="M465" s="3"/>
      <c r="Q465" s="3"/>
      <c r="R465" s="3"/>
      <c r="S465" s="3"/>
      <c r="T465" s="3"/>
      <c r="U465" s="3"/>
      <c r="V465" s="3"/>
    </row>
    <row r="466" ht="15.75" customHeight="1">
      <c r="I466" s="3"/>
      <c r="J466" s="3"/>
      <c r="K466" s="3"/>
      <c r="L466" s="3"/>
      <c r="M466" s="3"/>
      <c r="Q466" s="3"/>
      <c r="R466" s="3"/>
      <c r="S466" s="3"/>
      <c r="T466" s="3"/>
      <c r="U466" s="3"/>
      <c r="V466" s="3"/>
    </row>
    <row r="467" ht="15.75" customHeight="1">
      <c r="I467" s="3"/>
      <c r="J467" s="3"/>
      <c r="K467" s="3"/>
      <c r="L467" s="3"/>
      <c r="M467" s="3"/>
      <c r="Q467" s="3"/>
      <c r="R467" s="3"/>
      <c r="S467" s="3"/>
      <c r="T467" s="3"/>
      <c r="U467" s="3"/>
      <c r="V467" s="3"/>
    </row>
    <row r="468" ht="15.75" customHeight="1">
      <c r="I468" s="3"/>
      <c r="J468" s="3"/>
      <c r="K468" s="3"/>
      <c r="L468" s="3"/>
      <c r="M468" s="3"/>
      <c r="Q468" s="3"/>
      <c r="R468" s="3"/>
      <c r="S468" s="3"/>
      <c r="T468" s="3"/>
      <c r="U468" s="3"/>
      <c r="V468" s="3"/>
    </row>
    <row r="469" ht="15.75" customHeight="1">
      <c r="I469" s="3"/>
      <c r="J469" s="3"/>
      <c r="K469" s="3"/>
      <c r="L469" s="3"/>
      <c r="M469" s="3"/>
      <c r="Q469" s="3"/>
      <c r="R469" s="3"/>
      <c r="S469" s="3"/>
      <c r="T469" s="3"/>
      <c r="U469" s="3"/>
      <c r="V469" s="3"/>
    </row>
    <row r="470" ht="15.75" customHeight="1">
      <c r="I470" s="3"/>
      <c r="J470" s="3"/>
      <c r="K470" s="3"/>
      <c r="L470" s="3"/>
      <c r="M470" s="3"/>
      <c r="Q470" s="3"/>
      <c r="R470" s="3"/>
      <c r="S470" s="3"/>
      <c r="T470" s="3"/>
      <c r="U470" s="3"/>
      <c r="V470" s="3"/>
    </row>
    <row r="471" ht="15.75" customHeight="1">
      <c r="I471" s="3"/>
      <c r="J471" s="3"/>
      <c r="K471" s="3"/>
      <c r="L471" s="3"/>
      <c r="M471" s="3"/>
      <c r="Q471" s="3"/>
      <c r="R471" s="3"/>
      <c r="S471" s="3"/>
      <c r="T471" s="3"/>
      <c r="U471" s="3"/>
      <c r="V471" s="3"/>
    </row>
    <row r="472" ht="15.75" customHeight="1">
      <c r="I472" s="3"/>
      <c r="J472" s="3"/>
      <c r="K472" s="3"/>
      <c r="L472" s="3"/>
      <c r="M472" s="3"/>
      <c r="Q472" s="3"/>
      <c r="R472" s="3"/>
      <c r="S472" s="3"/>
      <c r="T472" s="3"/>
      <c r="U472" s="3"/>
      <c r="V472" s="3"/>
    </row>
    <row r="473" ht="15.75" customHeight="1">
      <c r="I473" s="3"/>
      <c r="J473" s="3"/>
      <c r="K473" s="3"/>
      <c r="L473" s="3"/>
      <c r="M473" s="3"/>
      <c r="Q473" s="3"/>
      <c r="R473" s="3"/>
      <c r="S473" s="3"/>
      <c r="T473" s="3"/>
      <c r="U473" s="3"/>
      <c r="V473" s="3"/>
    </row>
    <row r="474" ht="15.75" customHeight="1">
      <c r="I474" s="3"/>
      <c r="J474" s="3"/>
      <c r="K474" s="3"/>
      <c r="L474" s="3"/>
      <c r="M474" s="3"/>
      <c r="Q474" s="3"/>
      <c r="R474" s="3"/>
      <c r="S474" s="3"/>
      <c r="T474" s="3"/>
      <c r="U474" s="3"/>
      <c r="V474" s="3"/>
    </row>
    <row r="475" ht="15.75" customHeight="1">
      <c r="I475" s="3"/>
      <c r="J475" s="3"/>
      <c r="K475" s="3"/>
      <c r="L475" s="3"/>
      <c r="M475" s="3"/>
      <c r="Q475" s="3"/>
      <c r="R475" s="3"/>
      <c r="S475" s="3"/>
      <c r="T475" s="3"/>
      <c r="U475" s="3"/>
      <c r="V475" s="3"/>
    </row>
    <row r="476" ht="15.75" customHeight="1">
      <c r="I476" s="3"/>
      <c r="J476" s="3"/>
      <c r="K476" s="3"/>
      <c r="L476" s="3"/>
      <c r="M476" s="3"/>
      <c r="Q476" s="3"/>
      <c r="R476" s="3"/>
      <c r="S476" s="3"/>
      <c r="T476" s="3"/>
      <c r="U476" s="3"/>
      <c r="V476" s="3"/>
    </row>
    <row r="477" ht="15.75" customHeight="1">
      <c r="I477" s="3"/>
      <c r="J477" s="3"/>
      <c r="K477" s="3"/>
      <c r="L477" s="3"/>
      <c r="M477" s="3"/>
      <c r="Q477" s="3"/>
      <c r="R477" s="3"/>
      <c r="S477" s="3"/>
      <c r="T477" s="3"/>
      <c r="U477" s="3"/>
      <c r="V477" s="3"/>
    </row>
    <row r="478" ht="15.75" customHeight="1">
      <c r="I478" s="3"/>
      <c r="J478" s="3"/>
      <c r="K478" s="3"/>
      <c r="L478" s="3"/>
      <c r="M478" s="3"/>
      <c r="Q478" s="3"/>
      <c r="R478" s="3"/>
      <c r="S478" s="3"/>
      <c r="T478" s="3"/>
      <c r="U478" s="3"/>
      <c r="V478" s="3"/>
    </row>
    <row r="479" ht="15.75" customHeight="1">
      <c r="I479" s="3"/>
      <c r="J479" s="3"/>
      <c r="K479" s="3"/>
      <c r="L479" s="3"/>
      <c r="M479" s="3"/>
      <c r="Q479" s="3"/>
      <c r="R479" s="3"/>
      <c r="S479" s="3"/>
      <c r="T479" s="3"/>
      <c r="U479" s="3"/>
      <c r="V479" s="3"/>
    </row>
    <row r="480" ht="15.75" customHeight="1">
      <c r="I480" s="3"/>
      <c r="J480" s="3"/>
      <c r="K480" s="3"/>
      <c r="L480" s="3"/>
      <c r="M480" s="3"/>
      <c r="Q480" s="3"/>
      <c r="R480" s="3"/>
      <c r="S480" s="3"/>
      <c r="T480" s="3"/>
      <c r="U480" s="3"/>
      <c r="V480" s="3"/>
    </row>
    <row r="481" ht="15.75" customHeight="1">
      <c r="I481" s="3"/>
      <c r="J481" s="3"/>
      <c r="K481" s="3"/>
      <c r="L481" s="3"/>
      <c r="M481" s="3"/>
      <c r="Q481" s="3"/>
      <c r="R481" s="3"/>
      <c r="S481" s="3"/>
      <c r="T481" s="3"/>
      <c r="U481" s="3"/>
      <c r="V481" s="3"/>
    </row>
    <row r="482" ht="15.75" customHeight="1">
      <c r="I482" s="3"/>
      <c r="J482" s="3"/>
      <c r="K482" s="3"/>
      <c r="L482" s="3"/>
      <c r="M482" s="3"/>
      <c r="Q482" s="3"/>
      <c r="R482" s="3"/>
      <c r="S482" s="3"/>
      <c r="T482" s="3"/>
      <c r="U482" s="3"/>
      <c r="V482" s="3"/>
    </row>
    <row r="483" ht="15.75" customHeight="1">
      <c r="I483" s="3"/>
      <c r="J483" s="3"/>
      <c r="K483" s="3"/>
      <c r="L483" s="3"/>
      <c r="M483" s="3"/>
      <c r="Q483" s="3"/>
      <c r="R483" s="3"/>
      <c r="S483" s="3"/>
      <c r="T483" s="3"/>
      <c r="U483" s="3"/>
      <c r="V483" s="3"/>
    </row>
    <row r="484" ht="15.75" customHeight="1">
      <c r="I484" s="3"/>
      <c r="J484" s="3"/>
      <c r="K484" s="3"/>
      <c r="L484" s="3"/>
      <c r="M484" s="3"/>
      <c r="Q484" s="3"/>
      <c r="R484" s="3"/>
      <c r="S484" s="3"/>
      <c r="T484" s="3"/>
      <c r="U484" s="3"/>
      <c r="V484" s="3"/>
    </row>
    <row r="485" ht="15.75" customHeight="1">
      <c r="I485" s="3"/>
      <c r="J485" s="3"/>
      <c r="K485" s="3"/>
      <c r="L485" s="3"/>
      <c r="M485" s="3"/>
      <c r="Q485" s="3"/>
      <c r="R485" s="3"/>
      <c r="S485" s="3"/>
      <c r="T485" s="3"/>
      <c r="U485" s="3"/>
      <c r="V485" s="3"/>
    </row>
    <row r="486" ht="15.75" customHeight="1">
      <c r="I486" s="3"/>
      <c r="J486" s="3"/>
      <c r="K486" s="3"/>
      <c r="L486" s="3"/>
      <c r="M486" s="3"/>
      <c r="Q486" s="3"/>
      <c r="R486" s="3"/>
      <c r="S486" s="3"/>
      <c r="T486" s="3"/>
      <c r="U486" s="3"/>
      <c r="V486" s="3"/>
    </row>
    <row r="487" ht="15.75" customHeight="1">
      <c r="I487" s="3"/>
      <c r="J487" s="3"/>
      <c r="K487" s="3"/>
      <c r="L487" s="3"/>
      <c r="M487" s="3"/>
      <c r="Q487" s="3"/>
      <c r="R487" s="3"/>
      <c r="S487" s="3"/>
      <c r="T487" s="3"/>
      <c r="U487" s="3"/>
      <c r="V487" s="3"/>
    </row>
    <row r="488" ht="15.75" customHeight="1">
      <c r="I488" s="3"/>
      <c r="J488" s="3"/>
      <c r="K488" s="3"/>
      <c r="L488" s="3"/>
      <c r="M488" s="3"/>
      <c r="Q488" s="3"/>
      <c r="R488" s="3"/>
      <c r="S488" s="3"/>
      <c r="T488" s="3"/>
      <c r="U488" s="3"/>
      <c r="V488" s="3"/>
    </row>
    <row r="489" ht="15.75" customHeight="1">
      <c r="I489" s="3"/>
      <c r="J489" s="3"/>
      <c r="K489" s="3"/>
      <c r="L489" s="3"/>
      <c r="M489" s="3"/>
      <c r="Q489" s="3"/>
      <c r="R489" s="3"/>
      <c r="S489" s="3"/>
      <c r="T489" s="3"/>
      <c r="U489" s="3"/>
      <c r="V489" s="3"/>
    </row>
    <row r="490" ht="15.75" customHeight="1">
      <c r="I490" s="3"/>
      <c r="J490" s="3"/>
      <c r="K490" s="3"/>
      <c r="L490" s="3"/>
      <c r="M490" s="3"/>
      <c r="Q490" s="3"/>
      <c r="R490" s="3"/>
      <c r="S490" s="3"/>
      <c r="T490" s="3"/>
      <c r="U490" s="3"/>
      <c r="V490" s="3"/>
    </row>
    <row r="491" ht="15.75" customHeight="1">
      <c r="I491" s="3"/>
      <c r="J491" s="3"/>
      <c r="K491" s="3"/>
      <c r="L491" s="3"/>
      <c r="M491" s="3"/>
      <c r="Q491" s="3"/>
      <c r="R491" s="3"/>
      <c r="S491" s="3"/>
      <c r="T491" s="3"/>
      <c r="U491" s="3"/>
      <c r="V491" s="3"/>
    </row>
    <row r="492" ht="15.75" customHeight="1">
      <c r="I492" s="3"/>
      <c r="J492" s="3"/>
      <c r="K492" s="3"/>
      <c r="L492" s="3"/>
      <c r="M492" s="3"/>
      <c r="Q492" s="3"/>
      <c r="R492" s="3"/>
      <c r="S492" s="3"/>
      <c r="T492" s="3"/>
      <c r="U492" s="3"/>
      <c r="V492" s="3"/>
    </row>
    <row r="493" ht="15.75" customHeight="1">
      <c r="I493" s="3"/>
      <c r="J493" s="3"/>
      <c r="K493" s="3"/>
      <c r="L493" s="3"/>
      <c r="M493" s="3"/>
      <c r="Q493" s="3"/>
      <c r="R493" s="3"/>
      <c r="S493" s="3"/>
      <c r="T493" s="3"/>
      <c r="U493" s="3"/>
      <c r="V493" s="3"/>
    </row>
    <row r="494" ht="15.75" customHeight="1">
      <c r="I494" s="3"/>
      <c r="J494" s="3"/>
      <c r="K494" s="3"/>
      <c r="L494" s="3"/>
      <c r="M494" s="3"/>
      <c r="Q494" s="3"/>
      <c r="R494" s="3"/>
      <c r="S494" s="3"/>
      <c r="T494" s="3"/>
      <c r="U494" s="3"/>
      <c r="V494" s="3"/>
    </row>
    <row r="495" ht="15.75" customHeight="1">
      <c r="I495" s="3"/>
      <c r="J495" s="3"/>
      <c r="K495" s="3"/>
      <c r="L495" s="3"/>
      <c r="M495" s="3"/>
      <c r="Q495" s="3"/>
      <c r="R495" s="3"/>
      <c r="S495" s="3"/>
      <c r="T495" s="3"/>
      <c r="U495" s="3"/>
      <c r="V495" s="3"/>
    </row>
    <row r="496" ht="15.75" customHeight="1">
      <c r="I496" s="3"/>
      <c r="J496" s="3"/>
      <c r="K496" s="3"/>
      <c r="L496" s="3"/>
      <c r="M496" s="3"/>
      <c r="Q496" s="3"/>
      <c r="R496" s="3"/>
      <c r="S496" s="3"/>
      <c r="T496" s="3"/>
      <c r="U496" s="3"/>
      <c r="V496" s="3"/>
    </row>
    <row r="497" ht="15.75" customHeight="1">
      <c r="I497" s="3"/>
      <c r="J497" s="3"/>
      <c r="K497" s="3"/>
      <c r="L497" s="3"/>
      <c r="M497" s="3"/>
      <c r="Q497" s="3"/>
      <c r="R497" s="3"/>
      <c r="S497" s="3"/>
      <c r="T497" s="3"/>
      <c r="U497" s="3"/>
      <c r="V497" s="3"/>
    </row>
    <row r="498" ht="15.75" customHeight="1">
      <c r="I498" s="3"/>
      <c r="J498" s="3"/>
      <c r="K498" s="3"/>
      <c r="L498" s="3"/>
      <c r="M498" s="3"/>
      <c r="Q498" s="3"/>
      <c r="R498" s="3"/>
      <c r="S498" s="3"/>
      <c r="T498" s="3"/>
      <c r="U498" s="3"/>
      <c r="V498" s="3"/>
    </row>
    <row r="499" ht="15.75" customHeight="1">
      <c r="I499" s="3"/>
      <c r="J499" s="3"/>
      <c r="K499" s="3"/>
      <c r="L499" s="3"/>
      <c r="M499" s="3"/>
      <c r="Q499" s="3"/>
      <c r="R499" s="3"/>
      <c r="S499" s="3"/>
      <c r="T499" s="3"/>
      <c r="U499" s="3"/>
      <c r="V499" s="3"/>
    </row>
    <row r="500" ht="15.75" customHeight="1">
      <c r="I500" s="3"/>
      <c r="J500" s="3"/>
      <c r="K500" s="3"/>
      <c r="L500" s="3"/>
      <c r="M500" s="3"/>
      <c r="Q500" s="3"/>
      <c r="R500" s="3"/>
      <c r="S500" s="3"/>
      <c r="T500" s="3"/>
      <c r="U500" s="3"/>
      <c r="V500" s="3"/>
    </row>
    <row r="501" ht="15.75" customHeight="1">
      <c r="I501" s="3"/>
      <c r="J501" s="3"/>
      <c r="K501" s="3"/>
      <c r="L501" s="3"/>
      <c r="M501" s="3"/>
      <c r="Q501" s="3"/>
      <c r="R501" s="3"/>
      <c r="S501" s="3"/>
      <c r="T501" s="3"/>
      <c r="U501" s="3"/>
      <c r="V501" s="3"/>
    </row>
    <row r="502" ht="15.75" customHeight="1">
      <c r="I502" s="3"/>
      <c r="J502" s="3"/>
      <c r="K502" s="3"/>
      <c r="L502" s="3"/>
      <c r="M502" s="3"/>
      <c r="Q502" s="3"/>
      <c r="R502" s="3"/>
      <c r="S502" s="3"/>
      <c r="T502" s="3"/>
      <c r="U502" s="3"/>
      <c r="V502" s="3"/>
    </row>
    <row r="503" ht="15.75" customHeight="1">
      <c r="I503" s="3"/>
      <c r="J503" s="3"/>
      <c r="K503" s="3"/>
      <c r="L503" s="3"/>
      <c r="M503" s="3"/>
      <c r="Q503" s="3"/>
      <c r="R503" s="3"/>
      <c r="S503" s="3"/>
      <c r="T503" s="3"/>
      <c r="U503" s="3"/>
      <c r="V503" s="3"/>
    </row>
    <row r="504" ht="15.75" customHeight="1">
      <c r="I504" s="3"/>
      <c r="J504" s="3"/>
      <c r="K504" s="3"/>
      <c r="L504" s="3"/>
      <c r="M504" s="3"/>
      <c r="Q504" s="3"/>
      <c r="R504" s="3"/>
      <c r="S504" s="3"/>
      <c r="T504" s="3"/>
      <c r="U504" s="3"/>
      <c r="V504" s="3"/>
    </row>
    <row r="505" ht="15.75" customHeight="1">
      <c r="I505" s="3"/>
      <c r="J505" s="3"/>
      <c r="K505" s="3"/>
      <c r="L505" s="3"/>
      <c r="M505" s="3"/>
      <c r="Q505" s="3"/>
      <c r="R505" s="3"/>
      <c r="S505" s="3"/>
      <c r="T505" s="3"/>
      <c r="U505" s="3"/>
      <c r="V505" s="3"/>
    </row>
    <row r="506" ht="15.75" customHeight="1">
      <c r="I506" s="3"/>
      <c r="J506" s="3"/>
      <c r="K506" s="3"/>
      <c r="L506" s="3"/>
      <c r="M506" s="3"/>
      <c r="Q506" s="3"/>
      <c r="R506" s="3"/>
      <c r="S506" s="3"/>
      <c r="T506" s="3"/>
      <c r="U506" s="3"/>
      <c r="V506" s="3"/>
    </row>
    <row r="507" ht="15.75" customHeight="1">
      <c r="I507" s="3"/>
      <c r="J507" s="3"/>
      <c r="K507" s="3"/>
      <c r="L507" s="3"/>
      <c r="M507" s="3"/>
      <c r="Q507" s="3"/>
      <c r="R507" s="3"/>
      <c r="S507" s="3"/>
      <c r="T507" s="3"/>
      <c r="U507" s="3"/>
      <c r="V507" s="3"/>
    </row>
    <row r="508" ht="15.75" customHeight="1">
      <c r="I508" s="3"/>
      <c r="J508" s="3"/>
      <c r="K508" s="3"/>
      <c r="L508" s="3"/>
      <c r="M508" s="3"/>
      <c r="Q508" s="3"/>
      <c r="R508" s="3"/>
      <c r="S508" s="3"/>
      <c r="T508" s="3"/>
      <c r="U508" s="3"/>
      <c r="V508" s="3"/>
    </row>
    <row r="509" ht="15.75" customHeight="1">
      <c r="I509" s="3"/>
      <c r="J509" s="3"/>
      <c r="K509" s="3"/>
      <c r="L509" s="3"/>
      <c r="M509" s="3"/>
      <c r="Q509" s="3"/>
      <c r="R509" s="3"/>
      <c r="S509" s="3"/>
      <c r="T509" s="3"/>
      <c r="U509" s="3"/>
      <c r="V509" s="3"/>
    </row>
    <row r="510" ht="15.75" customHeight="1">
      <c r="I510" s="3"/>
      <c r="J510" s="3"/>
      <c r="K510" s="3"/>
      <c r="L510" s="3"/>
      <c r="M510" s="3"/>
      <c r="Q510" s="3"/>
      <c r="R510" s="3"/>
      <c r="S510" s="3"/>
      <c r="T510" s="3"/>
      <c r="U510" s="3"/>
      <c r="V510" s="3"/>
    </row>
    <row r="511" ht="15.75" customHeight="1">
      <c r="I511" s="3"/>
      <c r="J511" s="3"/>
      <c r="K511" s="3"/>
      <c r="L511" s="3"/>
      <c r="M511" s="3"/>
      <c r="Q511" s="3"/>
      <c r="R511" s="3"/>
      <c r="S511" s="3"/>
      <c r="T511" s="3"/>
      <c r="U511" s="3"/>
      <c r="V511" s="3"/>
    </row>
    <row r="512" ht="15.75" customHeight="1">
      <c r="I512" s="3"/>
      <c r="J512" s="3"/>
      <c r="K512" s="3"/>
      <c r="L512" s="3"/>
      <c r="M512" s="3"/>
      <c r="Q512" s="3"/>
      <c r="R512" s="3"/>
      <c r="S512" s="3"/>
      <c r="T512" s="3"/>
      <c r="U512" s="3"/>
      <c r="V512" s="3"/>
    </row>
    <row r="513" ht="15.75" customHeight="1">
      <c r="I513" s="3"/>
      <c r="J513" s="3"/>
      <c r="K513" s="3"/>
      <c r="L513" s="3"/>
      <c r="M513" s="3"/>
      <c r="Q513" s="3"/>
      <c r="R513" s="3"/>
      <c r="S513" s="3"/>
      <c r="T513" s="3"/>
      <c r="U513" s="3"/>
      <c r="V513" s="3"/>
    </row>
    <row r="514" ht="15.75" customHeight="1">
      <c r="I514" s="3"/>
      <c r="J514" s="3"/>
      <c r="K514" s="3"/>
      <c r="L514" s="3"/>
      <c r="M514" s="3"/>
      <c r="Q514" s="3"/>
      <c r="R514" s="3"/>
      <c r="S514" s="3"/>
      <c r="T514" s="3"/>
      <c r="U514" s="3"/>
      <c r="V514" s="3"/>
    </row>
    <row r="515" ht="15.75" customHeight="1">
      <c r="I515" s="3"/>
      <c r="J515" s="3"/>
      <c r="K515" s="3"/>
      <c r="L515" s="3"/>
      <c r="M515" s="3"/>
      <c r="Q515" s="3"/>
      <c r="R515" s="3"/>
      <c r="S515" s="3"/>
      <c r="T515" s="3"/>
      <c r="U515" s="3"/>
      <c r="V515" s="3"/>
    </row>
    <row r="516" ht="15.75" customHeight="1">
      <c r="I516" s="3"/>
      <c r="J516" s="3"/>
      <c r="K516" s="3"/>
      <c r="L516" s="3"/>
      <c r="M516" s="3"/>
      <c r="Q516" s="3"/>
      <c r="R516" s="3"/>
      <c r="S516" s="3"/>
      <c r="T516" s="3"/>
      <c r="U516" s="3"/>
      <c r="V516" s="3"/>
    </row>
    <row r="517" ht="15.75" customHeight="1">
      <c r="I517" s="3"/>
      <c r="J517" s="3"/>
      <c r="K517" s="3"/>
      <c r="L517" s="3"/>
      <c r="M517" s="3"/>
      <c r="Q517" s="3"/>
      <c r="R517" s="3"/>
      <c r="S517" s="3"/>
      <c r="T517" s="3"/>
      <c r="U517" s="3"/>
      <c r="V517" s="3"/>
    </row>
    <row r="518" ht="15.75" customHeight="1">
      <c r="I518" s="3"/>
      <c r="J518" s="3"/>
      <c r="K518" s="3"/>
      <c r="L518" s="3"/>
      <c r="M518" s="3"/>
      <c r="Q518" s="3"/>
      <c r="R518" s="3"/>
      <c r="S518" s="3"/>
      <c r="T518" s="3"/>
      <c r="U518" s="3"/>
      <c r="V518" s="3"/>
    </row>
    <row r="519" ht="15.75" customHeight="1">
      <c r="I519" s="3"/>
      <c r="J519" s="3"/>
      <c r="K519" s="3"/>
      <c r="L519" s="3"/>
      <c r="M519" s="3"/>
      <c r="Q519" s="3"/>
      <c r="R519" s="3"/>
      <c r="S519" s="3"/>
      <c r="T519" s="3"/>
      <c r="U519" s="3"/>
      <c r="V519" s="3"/>
    </row>
    <row r="520" ht="15.75" customHeight="1">
      <c r="I520" s="3"/>
      <c r="J520" s="3"/>
      <c r="K520" s="3"/>
      <c r="L520" s="3"/>
      <c r="M520" s="3"/>
      <c r="Q520" s="3"/>
      <c r="R520" s="3"/>
      <c r="S520" s="3"/>
      <c r="T520" s="3"/>
      <c r="U520" s="3"/>
      <c r="V520" s="3"/>
    </row>
    <row r="521" ht="15.75" customHeight="1">
      <c r="I521" s="3"/>
      <c r="J521" s="3"/>
      <c r="K521" s="3"/>
      <c r="L521" s="3"/>
      <c r="M521" s="3"/>
      <c r="Q521" s="3"/>
      <c r="R521" s="3"/>
      <c r="S521" s="3"/>
      <c r="T521" s="3"/>
      <c r="U521" s="3"/>
      <c r="V521" s="3"/>
    </row>
    <row r="522" ht="15.75" customHeight="1">
      <c r="I522" s="3"/>
      <c r="J522" s="3"/>
      <c r="K522" s="3"/>
      <c r="L522" s="3"/>
      <c r="M522" s="3"/>
      <c r="Q522" s="3"/>
      <c r="R522" s="3"/>
      <c r="S522" s="3"/>
      <c r="T522" s="3"/>
      <c r="U522" s="3"/>
      <c r="V522" s="3"/>
    </row>
    <row r="523" ht="15.75" customHeight="1">
      <c r="I523" s="3"/>
      <c r="J523" s="3"/>
      <c r="K523" s="3"/>
      <c r="L523" s="3"/>
      <c r="M523" s="3"/>
      <c r="Q523" s="3"/>
      <c r="R523" s="3"/>
      <c r="S523" s="3"/>
      <c r="T523" s="3"/>
      <c r="U523" s="3"/>
      <c r="V523" s="3"/>
    </row>
    <row r="524" ht="15.75" customHeight="1">
      <c r="I524" s="3"/>
      <c r="J524" s="3"/>
      <c r="K524" s="3"/>
      <c r="L524" s="3"/>
      <c r="M524" s="3"/>
      <c r="Q524" s="3"/>
      <c r="R524" s="3"/>
      <c r="S524" s="3"/>
      <c r="T524" s="3"/>
      <c r="U524" s="3"/>
      <c r="V524" s="3"/>
    </row>
    <row r="525" ht="15.75" customHeight="1">
      <c r="I525" s="3"/>
      <c r="J525" s="3"/>
      <c r="K525" s="3"/>
      <c r="L525" s="3"/>
      <c r="M525" s="3"/>
      <c r="Q525" s="3"/>
      <c r="R525" s="3"/>
      <c r="S525" s="3"/>
      <c r="T525" s="3"/>
      <c r="U525" s="3"/>
      <c r="V525" s="3"/>
    </row>
    <row r="526" ht="15.75" customHeight="1">
      <c r="I526" s="3"/>
      <c r="J526" s="3"/>
      <c r="K526" s="3"/>
      <c r="L526" s="3"/>
      <c r="M526" s="3"/>
      <c r="Q526" s="3"/>
      <c r="R526" s="3"/>
      <c r="S526" s="3"/>
      <c r="T526" s="3"/>
      <c r="U526" s="3"/>
      <c r="V526" s="3"/>
    </row>
    <row r="527" ht="15.75" customHeight="1">
      <c r="I527" s="3"/>
      <c r="J527" s="3"/>
      <c r="K527" s="3"/>
      <c r="L527" s="3"/>
      <c r="M527" s="3"/>
      <c r="Q527" s="3"/>
      <c r="R527" s="3"/>
      <c r="S527" s="3"/>
      <c r="T527" s="3"/>
      <c r="U527" s="3"/>
      <c r="V527" s="3"/>
    </row>
    <row r="528" ht="15.75" customHeight="1">
      <c r="I528" s="3"/>
      <c r="J528" s="3"/>
      <c r="K528" s="3"/>
      <c r="L528" s="3"/>
      <c r="M528" s="3"/>
      <c r="Q528" s="3"/>
      <c r="R528" s="3"/>
      <c r="S528" s="3"/>
      <c r="T528" s="3"/>
      <c r="U528" s="3"/>
      <c r="V528" s="3"/>
    </row>
    <row r="529" ht="15.75" customHeight="1">
      <c r="I529" s="3"/>
      <c r="J529" s="3"/>
      <c r="K529" s="3"/>
      <c r="L529" s="3"/>
      <c r="M529" s="3"/>
      <c r="Q529" s="3"/>
      <c r="R529" s="3"/>
      <c r="S529" s="3"/>
      <c r="T529" s="3"/>
      <c r="U529" s="3"/>
      <c r="V529" s="3"/>
    </row>
    <row r="530" ht="15.75" customHeight="1">
      <c r="I530" s="3"/>
      <c r="J530" s="3"/>
      <c r="K530" s="3"/>
      <c r="L530" s="3"/>
      <c r="M530" s="3"/>
      <c r="Q530" s="3"/>
      <c r="R530" s="3"/>
      <c r="S530" s="3"/>
      <c r="T530" s="3"/>
      <c r="U530" s="3"/>
      <c r="V530" s="3"/>
    </row>
    <row r="531" ht="15.75" customHeight="1">
      <c r="I531" s="3"/>
      <c r="J531" s="3"/>
      <c r="K531" s="3"/>
      <c r="L531" s="3"/>
      <c r="M531" s="3"/>
      <c r="Q531" s="3"/>
      <c r="R531" s="3"/>
      <c r="S531" s="3"/>
      <c r="T531" s="3"/>
      <c r="U531" s="3"/>
      <c r="V531" s="3"/>
    </row>
    <row r="532" ht="15.75" customHeight="1">
      <c r="I532" s="3"/>
      <c r="J532" s="3"/>
      <c r="K532" s="3"/>
      <c r="L532" s="3"/>
      <c r="M532" s="3"/>
      <c r="Q532" s="3"/>
      <c r="R532" s="3"/>
      <c r="S532" s="3"/>
      <c r="T532" s="3"/>
      <c r="U532" s="3"/>
      <c r="V532" s="3"/>
    </row>
    <row r="533" ht="15.75" customHeight="1">
      <c r="I533" s="3"/>
      <c r="J533" s="3"/>
      <c r="K533" s="3"/>
      <c r="L533" s="3"/>
      <c r="M533" s="3"/>
      <c r="Q533" s="3"/>
      <c r="R533" s="3"/>
      <c r="S533" s="3"/>
      <c r="T533" s="3"/>
      <c r="U533" s="3"/>
      <c r="V533" s="3"/>
    </row>
    <row r="534" ht="15.75" customHeight="1">
      <c r="I534" s="3"/>
      <c r="J534" s="3"/>
      <c r="K534" s="3"/>
      <c r="L534" s="3"/>
      <c r="M534" s="3"/>
      <c r="Q534" s="3"/>
      <c r="R534" s="3"/>
      <c r="S534" s="3"/>
      <c r="T534" s="3"/>
      <c r="U534" s="3"/>
      <c r="V534" s="3"/>
    </row>
    <row r="535" ht="15.75" customHeight="1">
      <c r="I535" s="3"/>
      <c r="J535" s="3"/>
      <c r="K535" s="3"/>
      <c r="L535" s="3"/>
      <c r="M535" s="3"/>
      <c r="Q535" s="3"/>
      <c r="R535" s="3"/>
      <c r="S535" s="3"/>
      <c r="T535" s="3"/>
      <c r="U535" s="3"/>
      <c r="V535" s="3"/>
    </row>
    <row r="536" ht="15.75" customHeight="1">
      <c r="I536" s="3"/>
      <c r="J536" s="3"/>
      <c r="K536" s="3"/>
      <c r="L536" s="3"/>
      <c r="M536" s="3"/>
      <c r="Q536" s="3"/>
      <c r="R536" s="3"/>
      <c r="S536" s="3"/>
      <c r="T536" s="3"/>
      <c r="U536" s="3"/>
      <c r="V536" s="3"/>
    </row>
    <row r="537" ht="15.75" customHeight="1">
      <c r="I537" s="3"/>
      <c r="J537" s="3"/>
      <c r="K537" s="3"/>
      <c r="L537" s="3"/>
      <c r="M537" s="3"/>
      <c r="Q537" s="3"/>
      <c r="R537" s="3"/>
      <c r="S537" s="3"/>
      <c r="T537" s="3"/>
      <c r="U537" s="3"/>
      <c r="V537" s="3"/>
    </row>
    <row r="538" ht="15.75" customHeight="1">
      <c r="I538" s="3"/>
      <c r="J538" s="3"/>
      <c r="K538" s="3"/>
      <c r="L538" s="3"/>
      <c r="M538" s="3"/>
      <c r="Q538" s="3"/>
      <c r="R538" s="3"/>
      <c r="S538" s="3"/>
      <c r="T538" s="3"/>
      <c r="U538" s="3"/>
      <c r="V538" s="3"/>
    </row>
    <row r="539" ht="15.75" customHeight="1">
      <c r="I539" s="3"/>
      <c r="J539" s="3"/>
      <c r="K539" s="3"/>
      <c r="L539" s="3"/>
      <c r="M539" s="3"/>
      <c r="Q539" s="3"/>
      <c r="R539" s="3"/>
      <c r="S539" s="3"/>
      <c r="T539" s="3"/>
      <c r="U539" s="3"/>
      <c r="V539" s="3"/>
    </row>
    <row r="540" ht="15.75" customHeight="1">
      <c r="I540" s="3"/>
      <c r="J540" s="3"/>
      <c r="K540" s="3"/>
      <c r="L540" s="3"/>
      <c r="M540" s="3"/>
      <c r="Q540" s="3"/>
      <c r="R540" s="3"/>
      <c r="S540" s="3"/>
      <c r="T540" s="3"/>
      <c r="U540" s="3"/>
      <c r="V540" s="3"/>
    </row>
    <row r="541" ht="15.75" customHeight="1">
      <c r="I541" s="3"/>
      <c r="J541" s="3"/>
      <c r="K541" s="3"/>
      <c r="L541" s="3"/>
      <c r="M541" s="3"/>
      <c r="Q541" s="3"/>
      <c r="R541" s="3"/>
      <c r="S541" s="3"/>
      <c r="T541" s="3"/>
      <c r="U541" s="3"/>
      <c r="V541" s="3"/>
    </row>
    <row r="542" ht="15.75" customHeight="1">
      <c r="I542" s="3"/>
      <c r="J542" s="3"/>
      <c r="K542" s="3"/>
      <c r="L542" s="3"/>
      <c r="M542" s="3"/>
      <c r="Q542" s="3"/>
      <c r="R542" s="3"/>
      <c r="S542" s="3"/>
      <c r="T542" s="3"/>
      <c r="U542" s="3"/>
      <c r="V542" s="3"/>
    </row>
    <row r="543" ht="15.75" customHeight="1">
      <c r="I543" s="3"/>
      <c r="J543" s="3"/>
      <c r="K543" s="3"/>
      <c r="L543" s="3"/>
      <c r="M543" s="3"/>
      <c r="Q543" s="3"/>
      <c r="R543" s="3"/>
      <c r="S543" s="3"/>
      <c r="T543" s="3"/>
      <c r="U543" s="3"/>
      <c r="V543" s="3"/>
    </row>
    <row r="544" ht="15.75" customHeight="1">
      <c r="I544" s="3"/>
      <c r="J544" s="3"/>
      <c r="K544" s="3"/>
      <c r="L544" s="3"/>
      <c r="M544" s="3"/>
      <c r="Q544" s="3"/>
      <c r="R544" s="3"/>
      <c r="S544" s="3"/>
      <c r="T544" s="3"/>
      <c r="U544" s="3"/>
      <c r="V544" s="3"/>
    </row>
    <row r="545" ht="15.75" customHeight="1">
      <c r="I545" s="3"/>
      <c r="J545" s="3"/>
      <c r="K545" s="3"/>
      <c r="L545" s="3"/>
      <c r="M545" s="3"/>
      <c r="Q545" s="3"/>
      <c r="R545" s="3"/>
      <c r="S545" s="3"/>
      <c r="T545" s="3"/>
      <c r="U545" s="3"/>
      <c r="V545" s="3"/>
    </row>
    <row r="546" ht="15.75" customHeight="1">
      <c r="I546" s="3"/>
      <c r="J546" s="3"/>
      <c r="K546" s="3"/>
      <c r="L546" s="3"/>
      <c r="M546" s="3"/>
      <c r="Q546" s="3"/>
      <c r="R546" s="3"/>
      <c r="S546" s="3"/>
      <c r="T546" s="3"/>
      <c r="U546" s="3"/>
      <c r="V546" s="3"/>
    </row>
    <row r="547" ht="15.75" customHeight="1">
      <c r="I547" s="3"/>
      <c r="J547" s="3"/>
      <c r="K547" s="3"/>
      <c r="L547" s="3"/>
      <c r="M547" s="3"/>
      <c r="Q547" s="3"/>
      <c r="R547" s="3"/>
      <c r="S547" s="3"/>
      <c r="T547" s="3"/>
      <c r="U547" s="3"/>
      <c r="V547" s="3"/>
    </row>
    <row r="548" ht="15.75" customHeight="1">
      <c r="I548" s="3"/>
      <c r="J548" s="3"/>
      <c r="K548" s="3"/>
      <c r="L548" s="3"/>
      <c r="M548" s="3"/>
      <c r="Q548" s="3"/>
      <c r="R548" s="3"/>
      <c r="S548" s="3"/>
      <c r="T548" s="3"/>
      <c r="U548" s="3"/>
      <c r="V548" s="3"/>
    </row>
    <row r="549" ht="15.75" customHeight="1">
      <c r="I549" s="3"/>
      <c r="J549" s="3"/>
      <c r="K549" s="3"/>
      <c r="L549" s="3"/>
      <c r="M549" s="3"/>
      <c r="Q549" s="3"/>
      <c r="R549" s="3"/>
      <c r="S549" s="3"/>
      <c r="T549" s="3"/>
      <c r="U549" s="3"/>
      <c r="V549" s="3"/>
    </row>
    <row r="550" ht="15.75" customHeight="1">
      <c r="I550" s="3"/>
      <c r="J550" s="3"/>
      <c r="K550" s="3"/>
      <c r="L550" s="3"/>
      <c r="M550" s="3"/>
      <c r="Q550" s="3"/>
      <c r="R550" s="3"/>
      <c r="S550" s="3"/>
      <c r="T550" s="3"/>
      <c r="U550" s="3"/>
      <c r="V550" s="3"/>
    </row>
    <row r="551" ht="15.75" customHeight="1">
      <c r="I551" s="3"/>
      <c r="J551" s="3"/>
      <c r="K551" s="3"/>
      <c r="L551" s="3"/>
      <c r="M551" s="3"/>
      <c r="Q551" s="3"/>
      <c r="R551" s="3"/>
      <c r="S551" s="3"/>
      <c r="T551" s="3"/>
      <c r="U551" s="3"/>
      <c r="V551" s="3"/>
    </row>
    <row r="552" ht="15.75" customHeight="1">
      <c r="I552" s="3"/>
      <c r="J552" s="3"/>
      <c r="K552" s="3"/>
      <c r="L552" s="3"/>
      <c r="M552" s="3"/>
      <c r="Q552" s="3"/>
      <c r="R552" s="3"/>
      <c r="S552" s="3"/>
      <c r="T552" s="3"/>
      <c r="U552" s="3"/>
      <c r="V552" s="3"/>
    </row>
    <row r="553" ht="15.75" customHeight="1">
      <c r="I553" s="3"/>
      <c r="J553" s="3"/>
      <c r="K553" s="3"/>
      <c r="L553" s="3"/>
      <c r="M553" s="3"/>
      <c r="Q553" s="3"/>
      <c r="R553" s="3"/>
      <c r="S553" s="3"/>
      <c r="T553" s="3"/>
      <c r="U553" s="3"/>
      <c r="V553" s="3"/>
    </row>
    <row r="554" ht="15.75" customHeight="1">
      <c r="I554" s="3"/>
      <c r="J554" s="3"/>
      <c r="K554" s="3"/>
      <c r="L554" s="3"/>
      <c r="M554" s="3"/>
      <c r="Q554" s="3"/>
      <c r="R554" s="3"/>
      <c r="S554" s="3"/>
      <c r="T554" s="3"/>
      <c r="U554" s="3"/>
      <c r="V554" s="3"/>
    </row>
    <row r="555" ht="15.75" customHeight="1">
      <c r="I555" s="3"/>
      <c r="J555" s="3"/>
      <c r="K555" s="3"/>
      <c r="L555" s="3"/>
      <c r="M555" s="3"/>
      <c r="Q555" s="3"/>
      <c r="R555" s="3"/>
      <c r="S555" s="3"/>
      <c r="T555" s="3"/>
      <c r="U555" s="3"/>
      <c r="V555" s="3"/>
    </row>
    <row r="556" ht="15.75" customHeight="1">
      <c r="I556" s="3"/>
      <c r="J556" s="3"/>
      <c r="K556" s="3"/>
      <c r="L556" s="3"/>
      <c r="M556" s="3"/>
      <c r="Q556" s="3"/>
      <c r="R556" s="3"/>
      <c r="S556" s="3"/>
      <c r="T556" s="3"/>
      <c r="U556" s="3"/>
      <c r="V556" s="3"/>
    </row>
    <row r="557" ht="15.75" customHeight="1">
      <c r="I557" s="3"/>
      <c r="J557" s="3"/>
      <c r="K557" s="3"/>
      <c r="L557" s="3"/>
      <c r="M557" s="3"/>
      <c r="Q557" s="3"/>
      <c r="R557" s="3"/>
      <c r="S557" s="3"/>
      <c r="T557" s="3"/>
      <c r="U557" s="3"/>
      <c r="V557" s="3"/>
    </row>
    <row r="558" ht="15.75" customHeight="1">
      <c r="I558" s="3"/>
      <c r="J558" s="3"/>
      <c r="K558" s="3"/>
      <c r="L558" s="3"/>
      <c r="M558" s="3"/>
      <c r="Q558" s="3"/>
      <c r="R558" s="3"/>
      <c r="S558" s="3"/>
      <c r="T558" s="3"/>
      <c r="U558" s="3"/>
      <c r="V558" s="3"/>
    </row>
    <row r="559" ht="15.75" customHeight="1">
      <c r="I559" s="3"/>
      <c r="J559" s="3"/>
      <c r="K559" s="3"/>
      <c r="L559" s="3"/>
      <c r="M559" s="3"/>
      <c r="Q559" s="3"/>
      <c r="R559" s="3"/>
      <c r="S559" s="3"/>
      <c r="T559" s="3"/>
      <c r="U559" s="3"/>
      <c r="V559" s="3"/>
    </row>
    <row r="560" ht="15.75" customHeight="1">
      <c r="I560" s="3"/>
      <c r="J560" s="3"/>
      <c r="K560" s="3"/>
      <c r="L560" s="3"/>
      <c r="M560" s="3"/>
      <c r="Q560" s="3"/>
      <c r="R560" s="3"/>
      <c r="S560" s="3"/>
      <c r="T560" s="3"/>
      <c r="U560" s="3"/>
      <c r="V560" s="3"/>
    </row>
    <row r="561" ht="15.75" customHeight="1">
      <c r="I561" s="3"/>
      <c r="J561" s="3"/>
      <c r="K561" s="3"/>
      <c r="L561" s="3"/>
      <c r="M561" s="3"/>
      <c r="Q561" s="3"/>
      <c r="R561" s="3"/>
      <c r="S561" s="3"/>
      <c r="T561" s="3"/>
      <c r="U561" s="3"/>
      <c r="V561" s="3"/>
    </row>
    <row r="562" ht="15.75" customHeight="1">
      <c r="I562" s="3"/>
      <c r="J562" s="3"/>
      <c r="K562" s="3"/>
      <c r="L562" s="3"/>
      <c r="M562" s="3"/>
      <c r="Q562" s="3"/>
      <c r="R562" s="3"/>
      <c r="S562" s="3"/>
      <c r="T562" s="3"/>
      <c r="U562" s="3"/>
      <c r="V562" s="3"/>
    </row>
    <row r="563" ht="15.75" customHeight="1">
      <c r="I563" s="3"/>
      <c r="J563" s="3"/>
      <c r="K563" s="3"/>
      <c r="L563" s="3"/>
      <c r="M563" s="3"/>
      <c r="Q563" s="3"/>
      <c r="R563" s="3"/>
      <c r="S563" s="3"/>
      <c r="T563" s="3"/>
      <c r="U563" s="3"/>
      <c r="V563" s="3"/>
    </row>
    <row r="564" ht="15.75" customHeight="1">
      <c r="I564" s="3"/>
      <c r="J564" s="3"/>
      <c r="K564" s="3"/>
      <c r="L564" s="3"/>
      <c r="M564" s="3"/>
      <c r="Q564" s="3"/>
      <c r="R564" s="3"/>
      <c r="S564" s="3"/>
      <c r="T564" s="3"/>
      <c r="U564" s="3"/>
      <c r="V564" s="3"/>
    </row>
    <row r="565" ht="15.75" customHeight="1">
      <c r="I565" s="3"/>
      <c r="J565" s="3"/>
      <c r="K565" s="3"/>
      <c r="L565" s="3"/>
      <c r="M565" s="3"/>
      <c r="Q565" s="3"/>
      <c r="R565" s="3"/>
      <c r="S565" s="3"/>
      <c r="T565" s="3"/>
      <c r="U565" s="3"/>
      <c r="V565" s="3"/>
    </row>
    <row r="566" ht="15.75" customHeight="1">
      <c r="I566" s="3"/>
      <c r="J566" s="3"/>
      <c r="K566" s="3"/>
      <c r="L566" s="3"/>
      <c r="M566" s="3"/>
      <c r="Q566" s="3"/>
      <c r="R566" s="3"/>
      <c r="S566" s="3"/>
      <c r="T566" s="3"/>
      <c r="U566" s="3"/>
      <c r="V566" s="3"/>
    </row>
    <row r="567" ht="15.75" customHeight="1">
      <c r="I567" s="3"/>
      <c r="J567" s="3"/>
      <c r="K567" s="3"/>
      <c r="L567" s="3"/>
      <c r="M567" s="3"/>
      <c r="Q567" s="3"/>
      <c r="R567" s="3"/>
      <c r="S567" s="3"/>
      <c r="T567" s="3"/>
      <c r="U567" s="3"/>
      <c r="V567" s="3"/>
    </row>
    <row r="568" ht="15.75" customHeight="1">
      <c r="I568" s="3"/>
      <c r="J568" s="3"/>
      <c r="K568" s="3"/>
      <c r="L568" s="3"/>
      <c r="M568" s="3"/>
      <c r="Q568" s="3"/>
      <c r="R568" s="3"/>
      <c r="S568" s="3"/>
      <c r="T568" s="3"/>
      <c r="U568" s="3"/>
      <c r="V568" s="3"/>
    </row>
    <row r="569" ht="15.75" customHeight="1">
      <c r="I569" s="3"/>
      <c r="J569" s="3"/>
      <c r="K569" s="3"/>
      <c r="L569" s="3"/>
      <c r="M569" s="3"/>
      <c r="Q569" s="3"/>
      <c r="R569" s="3"/>
      <c r="S569" s="3"/>
      <c r="T569" s="3"/>
      <c r="U569" s="3"/>
      <c r="V569" s="3"/>
    </row>
    <row r="570" ht="15.75" customHeight="1">
      <c r="I570" s="3"/>
      <c r="J570" s="3"/>
      <c r="K570" s="3"/>
      <c r="L570" s="3"/>
      <c r="M570" s="3"/>
      <c r="Q570" s="3"/>
      <c r="R570" s="3"/>
      <c r="S570" s="3"/>
      <c r="T570" s="3"/>
      <c r="U570" s="3"/>
      <c r="V570" s="3"/>
    </row>
    <row r="571" ht="15.75" customHeight="1">
      <c r="I571" s="3"/>
      <c r="J571" s="3"/>
      <c r="K571" s="3"/>
      <c r="L571" s="3"/>
      <c r="M571" s="3"/>
      <c r="Q571" s="3"/>
      <c r="R571" s="3"/>
      <c r="S571" s="3"/>
      <c r="T571" s="3"/>
      <c r="U571" s="3"/>
      <c r="V571" s="3"/>
    </row>
    <row r="572" ht="15.75" customHeight="1">
      <c r="I572" s="3"/>
      <c r="J572" s="3"/>
      <c r="K572" s="3"/>
      <c r="L572" s="3"/>
      <c r="M572" s="3"/>
      <c r="Q572" s="3"/>
      <c r="R572" s="3"/>
      <c r="S572" s="3"/>
      <c r="T572" s="3"/>
      <c r="U572" s="3"/>
      <c r="V572" s="3"/>
    </row>
    <row r="573" ht="15.75" customHeight="1">
      <c r="I573" s="3"/>
      <c r="J573" s="3"/>
      <c r="K573" s="3"/>
      <c r="L573" s="3"/>
      <c r="M573" s="3"/>
      <c r="Q573" s="3"/>
      <c r="R573" s="3"/>
      <c r="S573" s="3"/>
      <c r="T573" s="3"/>
      <c r="U573" s="3"/>
      <c r="V573" s="3"/>
    </row>
    <row r="574" ht="15.75" customHeight="1">
      <c r="I574" s="3"/>
      <c r="J574" s="3"/>
      <c r="K574" s="3"/>
      <c r="L574" s="3"/>
      <c r="M574" s="3"/>
      <c r="Q574" s="3"/>
      <c r="R574" s="3"/>
      <c r="S574" s="3"/>
      <c r="T574" s="3"/>
      <c r="U574" s="3"/>
      <c r="V574" s="3"/>
    </row>
    <row r="575" ht="15.75" customHeight="1">
      <c r="I575" s="3"/>
      <c r="J575" s="3"/>
      <c r="K575" s="3"/>
      <c r="L575" s="3"/>
      <c r="M575" s="3"/>
      <c r="Q575" s="3"/>
      <c r="R575" s="3"/>
      <c r="S575" s="3"/>
      <c r="T575" s="3"/>
      <c r="U575" s="3"/>
      <c r="V575" s="3"/>
    </row>
    <row r="576" ht="15.75" customHeight="1">
      <c r="I576" s="3"/>
      <c r="J576" s="3"/>
      <c r="K576" s="3"/>
      <c r="L576" s="3"/>
      <c r="M576" s="3"/>
      <c r="Q576" s="3"/>
      <c r="R576" s="3"/>
      <c r="S576" s="3"/>
      <c r="T576" s="3"/>
      <c r="U576" s="3"/>
      <c r="V576" s="3"/>
    </row>
    <row r="577" ht="15.75" customHeight="1">
      <c r="I577" s="3"/>
      <c r="J577" s="3"/>
      <c r="K577" s="3"/>
      <c r="L577" s="3"/>
      <c r="M577" s="3"/>
      <c r="Q577" s="3"/>
      <c r="R577" s="3"/>
      <c r="S577" s="3"/>
      <c r="T577" s="3"/>
      <c r="U577" s="3"/>
      <c r="V577" s="3"/>
    </row>
    <row r="578" ht="15.75" customHeight="1">
      <c r="I578" s="3"/>
      <c r="J578" s="3"/>
      <c r="K578" s="3"/>
      <c r="L578" s="3"/>
      <c r="M578" s="3"/>
      <c r="Q578" s="3"/>
      <c r="R578" s="3"/>
      <c r="S578" s="3"/>
      <c r="T578" s="3"/>
      <c r="U578" s="3"/>
      <c r="V578" s="3"/>
    </row>
    <row r="579" ht="15.75" customHeight="1">
      <c r="I579" s="3"/>
      <c r="J579" s="3"/>
      <c r="K579" s="3"/>
      <c r="L579" s="3"/>
      <c r="M579" s="3"/>
      <c r="Q579" s="3"/>
      <c r="R579" s="3"/>
      <c r="S579" s="3"/>
      <c r="T579" s="3"/>
      <c r="U579" s="3"/>
      <c r="V579" s="3"/>
    </row>
    <row r="580" ht="15.75" customHeight="1">
      <c r="I580" s="3"/>
      <c r="J580" s="3"/>
      <c r="K580" s="3"/>
      <c r="L580" s="3"/>
      <c r="M580" s="3"/>
      <c r="Q580" s="3"/>
      <c r="R580" s="3"/>
      <c r="S580" s="3"/>
      <c r="T580" s="3"/>
      <c r="U580" s="3"/>
      <c r="V580" s="3"/>
    </row>
    <row r="581" ht="15.75" customHeight="1">
      <c r="I581" s="3"/>
      <c r="J581" s="3"/>
      <c r="K581" s="3"/>
      <c r="L581" s="3"/>
      <c r="M581" s="3"/>
      <c r="Q581" s="3"/>
      <c r="R581" s="3"/>
      <c r="S581" s="3"/>
      <c r="T581" s="3"/>
      <c r="U581" s="3"/>
      <c r="V581" s="3"/>
    </row>
    <row r="582" ht="15.75" customHeight="1">
      <c r="I582" s="3"/>
      <c r="J582" s="3"/>
      <c r="K582" s="3"/>
      <c r="L582" s="3"/>
      <c r="M582" s="3"/>
      <c r="Q582" s="3"/>
      <c r="R582" s="3"/>
      <c r="S582" s="3"/>
      <c r="T582" s="3"/>
      <c r="U582" s="3"/>
      <c r="V582" s="3"/>
    </row>
    <row r="583" ht="15.75" customHeight="1">
      <c r="I583" s="3"/>
      <c r="J583" s="3"/>
      <c r="K583" s="3"/>
      <c r="L583" s="3"/>
      <c r="M583" s="3"/>
      <c r="Q583" s="3"/>
      <c r="R583" s="3"/>
      <c r="S583" s="3"/>
      <c r="T583" s="3"/>
      <c r="U583" s="3"/>
      <c r="V583" s="3"/>
    </row>
    <row r="584" ht="15.75" customHeight="1">
      <c r="I584" s="3"/>
      <c r="J584" s="3"/>
      <c r="K584" s="3"/>
      <c r="L584" s="3"/>
      <c r="M584" s="3"/>
      <c r="Q584" s="3"/>
      <c r="R584" s="3"/>
      <c r="S584" s="3"/>
      <c r="T584" s="3"/>
      <c r="U584" s="3"/>
      <c r="V584" s="3"/>
    </row>
    <row r="585" ht="15.75" customHeight="1">
      <c r="I585" s="3"/>
      <c r="J585" s="3"/>
      <c r="K585" s="3"/>
      <c r="L585" s="3"/>
      <c r="M585" s="3"/>
      <c r="Q585" s="3"/>
      <c r="R585" s="3"/>
      <c r="S585" s="3"/>
      <c r="T585" s="3"/>
      <c r="U585" s="3"/>
      <c r="V585" s="3"/>
    </row>
    <row r="586" ht="15.75" customHeight="1">
      <c r="I586" s="3"/>
      <c r="J586" s="3"/>
      <c r="K586" s="3"/>
      <c r="L586" s="3"/>
      <c r="M586" s="3"/>
      <c r="Q586" s="3"/>
      <c r="R586" s="3"/>
      <c r="S586" s="3"/>
      <c r="T586" s="3"/>
      <c r="U586" s="3"/>
      <c r="V586" s="3"/>
    </row>
    <row r="587" ht="15.75" customHeight="1">
      <c r="I587" s="3"/>
      <c r="J587" s="3"/>
      <c r="K587" s="3"/>
      <c r="L587" s="3"/>
      <c r="M587" s="3"/>
      <c r="Q587" s="3"/>
      <c r="R587" s="3"/>
      <c r="S587" s="3"/>
      <c r="T587" s="3"/>
      <c r="U587" s="3"/>
      <c r="V587" s="3"/>
    </row>
    <row r="588" ht="15.75" customHeight="1">
      <c r="I588" s="3"/>
      <c r="J588" s="3"/>
      <c r="K588" s="3"/>
      <c r="L588" s="3"/>
      <c r="M588" s="3"/>
      <c r="Q588" s="3"/>
      <c r="R588" s="3"/>
      <c r="S588" s="3"/>
      <c r="T588" s="3"/>
      <c r="U588" s="3"/>
      <c r="V588" s="3"/>
    </row>
    <row r="589" ht="15.75" customHeight="1">
      <c r="I589" s="3"/>
      <c r="J589" s="3"/>
      <c r="K589" s="3"/>
      <c r="L589" s="3"/>
      <c r="M589" s="3"/>
      <c r="Q589" s="3"/>
      <c r="R589" s="3"/>
      <c r="S589" s="3"/>
      <c r="T589" s="3"/>
      <c r="U589" s="3"/>
      <c r="V589" s="3"/>
    </row>
    <row r="590" ht="15.75" customHeight="1">
      <c r="I590" s="3"/>
      <c r="J590" s="3"/>
      <c r="K590" s="3"/>
      <c r="L590" s="3"/>
      <c r="M590" s="3"/>
      <c r="Q590" s="3"/>
      <c r="R590" s="3"/>
      <c r="S590" s="3"/>
      <c r="T590" s="3"/>
      <c r="U590" s="3"/>
      <c r="V590" s="3"/>
    </row>
    <row r="591" ht="15.75" customHeight="1">
      <c r="I591" s="3"/>
      <c r="J591" s="3"/>
      <c r="K591" s="3"/>
      <c r="L591" s="3"/>
      <c r="M591" s="3"/>
      <c r="Q591" s="3"/>
      <c r="R591" s="3"/>
      <c r="S591" s="3"/>
      <c r="T591" s="3"/>
      <c r="U591" s="3"/>
      <c r="V591" s="3"/>
    </row>
    <row r="592" ht="15.75" customHeight="1">
      <c r="I592" s="3"/>
      <c r="J592" s="3"/>
      <c r="K592" s="3"/>
      <c r="L592" s="3"/>
      <c r="M592" s="3"/>
      <c r="Q592" s="3"/>
      <c r="R592" s="3"/>
      <c r="S592" s="3"/>
      <c r="T592" s="3"/>
      <c r="U592" s="3"/>
      <c r="V592" s="3"/>
    </row>
    <row r="593" ht="15.75" customHeight="1">
      <c r="I593" s="3"/>
      <c r="J593" s="3"/>
      <c r="K593" s="3"/>
      <c r="L593" s="3"/>
      <c r="M593" s="3"/>
      <c r="Q593" s="3"/>
      <c r="R593" s="3"/>
      <c r="S593" s="3"/>
      <c r="T593" s="3"/>
      <c r="U593" s="3"/>
      <c r="V593" s="3"/>
    </row>
    <row r="594" ht="15.75" customHeight="1">
      <c r="I594" s="3"/>
      <c r="J594" s="3"/>
      <c r="K594" s="3"/>
      <c r="L594" s="3"/>
      <c r="M594" s="3"/>
      <c r="Q594" s="3"/>
      <c r="R594" s="3"/>
      <c r="S594" s="3"/>
      <c r="T594" s="3"/>
      <c r="U594" s="3"/>
      <c r="V594" s="3"/>
    </row>
    <row r="595" ht="15.75" customHeight="1">
      <c r="I595" s="3"/>
      <c r="J595" s="3"/>
      <c r="K595" s="3"/>
      <c r="L595" s="3"/>
      <c r="M595" s="3"/>
      <c r="Q595" s="3"/>
      <c r="R595" s="3"/>
      <c r="S595" s="3"/>
      <c r="T595" s="3"/>
      <c r="U595" s="3"/>
      <c r="V595" s="3"/>
    </row>
    <row r="596" ht="15.75" customHeight="1">
      <c r="I596" s="3"/>
      <c r="J596" s="3"/>
      <c r="K596" s="3"/>
      <c r="L596" s="3"/>
      <c r="M596" s="3"/>
      <c r="Q596" s="3"/>
      <c r="R596" s="3"/>
      <c r="S596" s="3"/>
      <c r="T596" s="3"/>
      <c r="U596" s="3"/>
      <c r="V596" s="3"/>
    </row>
    <row r="597" ht="15.75" customHeight="1">
      <c r="I597" s="3"/>
      <c r="J597" s="3"/>
      <c r="K597" s="3"/>
      <c r="L597" s="3"/>
      <c r="M597" s="3"/>
      <c r="Q597" s="3"/>
      <c r="R597" s="3"/>
      <c r="S597" s="3"/>
      <c r="T597" s="3"/>
      <c r="U597" s="3"/>
      <c r="V597" s="3"/>
    </row>
    <row r="598" ht="15.75" customHeight="1">
      <c r="I598" s="3"/>
      <c r="J598" s="3"/>
      <c r="K598" s="3"/>
      <c r="L598" s="3"/>
      <c r="M598" s="3"/>
      <c r="Q598" s="3"/>
      <c r="R598" s="3"/>
      <c r="S598" s="3"/>
      <c r="T598" s="3"/>
      <c r="U598" s="3"/>
      <c r="V598" s="3"/>
    </row>
    <row r="599" ht="15.75" customHeight="1">
      <c r="I599" s="3"/>
      <c r="J599" s="3"/>
      <c r="K599" s="3"/>
      <c r="L599" s="3"/>
      <c r="M599" s="3"/>
      <c r="Q599" s="3"/>
      <c r="R599" s="3"/>
      <c r="S599" s="3"/>
      <c r="T599" s="3"/>
      <c r="U599" s="3"/>
      <c r="V599" s="3"/>
    </row>
    <row r="600" ht="15.75" customHeight="1">
      <c r="I600" s="3"/>
      <c r="J600" s="3"/>
      <c r="K600" s="3"/>
      <c r="L600" s="3"/>
      <c r="M600" s="3"/>
      <c r="Q600" s="3"/>
      <c r="R600" s="3"/>
      <c r="S600" s="3"/>
      <c r="T600" s="3"/>
      <c r="U600" s="3"/>
      <c r="V600" s="3"/>
    </row>
    <row r="601" ht="15.75" customHeight="1">
      <c r="I601" s="3"/>
      <c r="J601" s="3"/>
      <c r="K601" s="3"/>
      <c r="L601" s="3"/>
      <c r="M601" s="3"/>
      <c r="Q601" s="3"/>
      <c r="R601" s="3"/>
      <c r="S601" s="3"/>
      <c r="T601" s="3"/>
      <c r="U601" s="3"/>
      <c r="V601" s="3"/>
    </row>
    <row r="602" ht="15.75" customHeight="1">
      <c r="I602" s="3"/>
      <c r="J602" s="3"/>
      <c r="K602" s="3"/>
      <c r="L602" s="3"/>
      <c r="M602" s="3"/>
      <c r="Q602" s="3"/>
      <c r="R602" s="3"/>
      <c r="S602" s="3"/>
      <c r="T602" s="3"/>
      <c r="U602" s="3"/>
      <c r="V602" s="3"/>
    </row>
    <row r="603" ht="15.75" customHeight="1">
      <c r="I603" s="3"/>
      <c r="J603" s="3"/>
      <c r="K603" s="3"/>
      <c r="L603" s="3"/>
      <c r="M603" s="3"/>
      <c r="Q603" s="3"/>
      <c r="R603" s="3"/>
      <c r="S603" s="3"/>
      <c r="T603" s="3"/>
      <c r="U603" s="3"/>
      <c r="V603" s="3"/>
    </row>
    <row r="604" ht="15.75" customHeight="1">
      <c r="I604" s="3"/>
      <c r="J604" s="3"/>
      <c r="K604" s="3"/>
      <c r="L604" s="3"/>
      <c r="M604" s="3"/>
      <c r="Q604" s="3"/>
      <c r="R604" s="3"/>
      <c r="S604" s="3"/>
      <c r="T604" s="3"/>
      <c r="U604" s="3"/>
      <c r="V604" s="3"/>
    </row>
    <row r="605" ht="15.75" customHeight="1">
      <c r="I605" s="3"/>
      <c r="J605" s="3"/>
      <c r="K605" s="3"/>
      <c r="L605" s="3"/>
      <c r="M605" s="3"/>
      <c r="Q605" s="3"/>
      <c r="R605" s="3"/>
      <c r="S605" s="3"/>
      <c r="T605" s="3"/>
      <c r="U605" s="3"/>
      <c r="V605" s="3"/>
    </row>
    <row r="606" ht="15.75" customHeight="1">
      <c r="I606" s="3"/>
      <c r="J606" s="3"/>
      <c r="K606" s="3"/>
      <c r="L606" s="3"/>
      <c r="M606" s="3"/>
      <c r="Q606" s="3"/>
      <c r="R606" s="3"/>
      <c r="S606" s="3"/>
      <c r="T606" s="3"/>
      <c r="U606" s="3"/>
      <c r="V606" s="3"/>
    </row>
    <row r="607" ht="15.75" customHeight="1">
      <c r="I607" s="3"/>
      <c r="J607" s="3"/>
      <c r="K607" s="3"/>
      <c r="L607" s="3"/>
      <c r="M607" s="3"/>
      <c r="Q607" s="3"/>
      <c r="R607" s="3"/>
      <c r="S607" s="3"/>
      <c r="T607" s="3"/>
      <c r="U607" s="3"/>
      <c r="V607" s="3"/>
    </row>
    <row r="608" ht="15.75" customHeight="1">
      <c r="I608" s="3"/>
      <c r="J608" s="3"/>
      <c r="K608" s="3"/>
      <c r="L608" s="3"/>
      <c r="M608" s="3"/>
      <c r="Q608" s="3"/>
      <c r="R608" s="3"/>
      <c r="S608" s="3"/>
      <c r="T608" s="3"/>
      <c r="U608" s="3"/>
      <c r="V608" s="3"/>
    </row>
    <row r="609" ht="15.75" customHeight="1">
      <c r="I609" s="3"/>
      <c r="J609" s="3"/>
      <c r="K609" s="3"/>
      <c r="L609" s="3"/>
      <c r="M609" s="3"/>
      <c r="Q609" s="3"/>
      <c r="R609" s="3"/>
      <c r="S609" s="3"/>
      <c r="T609" s="3"/>
      <c r="U609" s="3"/>
      <c r="V609" s="3"/>
    </row>
    <row r="610" ht="15.75" customHeight="1">
      <c r="I610" s="3"/>
      <c r="J610" s="3"/>
      <c r="K610" s="3"/>
      <c r="L610" s="3"/>
      <c r="M610" s="3"/>
      <c r="Q610" s="3"/>
      <c r="R610" s="3"/>
      <c r="S610" s="3"/>
      <c r="T610" s="3"/>
      <c r="U610" s="3"/>
      <c r="V610" s="3"/>
    </row>
    <row r="611" ht="15.75" customHeight="1">
      <c r="I611" s="3"/>
      <c r="J611" s="3"/>
      <c r="K611" s="3"/>
      <c r="L611" s="3"/>
      <c r="M611" s="3"/>
      <c r="Q611" s="3"/>
      <c r="R611" s="3"/>
      <c r="S611" s="3"/>
      <c r="T611" s="3"/>
      <c r="U611" s="3"/>
      <c r="V611" s="3"/>
    </row>
    <row r="612" ht="15.75" customHeight="1">
      <c r="I612" s="3"/>
      <c r="J612" s="3"/>
      <c r="K612" s="3"/>
      <c r="L612" s="3"/>
      <c r="M612" s="3"/>
      <c r="Q612" s="3"/>
      <c r="R612" s="3"/>
      <c r="S612" s="3"/>
      <c r="T612" s="3"/>
      <c r="U612" s="3"/>
      <c r="V612" s="3"/>
    </row>
    <row r="613" ht="15.75" customHeight="1">
      <c r="I613" s="3"/>
      <c r="J613" s="3"/>
      <c r="K613" s="3"/>
      <c r="L613" s="3"/>
      <c r="M613" s="3"/>
      <c r="Q613" s="3"/>
      <c r="R613" s="3"/>
      <c r="S613" s="3"/>
      <c r="T613" s="3"/>
      <c r="U613" s="3"/>
      <c r="V613" s="3"/>
    </row>
    <row r="614" ht="15.75" customHeight="1">
      <c r="I614" s="3"/>
      <c r="J614" s="3"/>
      <c r="K614" s="3"/>
      <c r="L614" s="3"/>
      <c r="M614" s="3"/>
      <c r="Q614" s="3"/>
      <c r="R614" s="3"/>
      <c r="S614" s="3"/>
      <c r="T614" s="3"/>
      <c r="U614" s="3"/>
      <c r="V614" s="3"/>
    </row>
    <row r="615" ht="15.75" customHeight="1">
      <c r="I615" s="3"/>
      <c r="J615" s="3"/>
      <c r="K615" s="3"/>
      <c r="L615" s="3"/>
      <c r="M615" s="3"/>
      <c r="Q615" s="3"/>
      <c r="R615" s="3"/>
      <c r="S615" s="3"/>
      <c r="T615" s="3"/>
      <c r="U615" s="3"/>
      <c r="V615" s="3"/>
    </row>
    <row r="616" ht="15.75" customHeight="1">
      <c r="I616" s="3"/>
      <c r="J616" s="3"/>
      <c r="K616" s="3"/>
      <c r="L616" s="3"/>
      <c r="M616" s="3"/>
      <c r="Q616" s="3"/>
      <c r="R616" s="3"/>
      <c r="S616" s="3"/>
      <c r="T616" s="3"/>
      <c r="U616" s="3"/>
      <c r="V616" s="3"/>
    </row>
    <row r="617" ht="15.75" customHeight="1">
      <c r="I617" s="3"/>
      <c r="J617" s="3"/>
      <c r="K617" s="3"/>
      <c r="L617" s="3"/>
      <c r="M617" s="3"/>
      <c r="Q617" s="3"/>
      <c r="R617" s="3"/>
      <c r="S617" s="3"/>
      <c r="T617" s="3"/>
      <c r="U617" s="3"/>
      <c r="V617" s="3"/>
    </row>
    <row r="618" ht="15.75" customHeight="1">
      <c r="I618" s="3"/>
      <c r="J618" s="3"/>
      <c r="K618" s="3"/>
      <c r="L618" s="3"/>
      <c r="M618" s="3"/>
      <c r="Q618" s="3"/>
      <c r="R618" s="3"/>
      <c r="S618" s="3"/>
      <c r="T618" s="3"/>
      <c r="U618" s="3"/>
      <c r="V618" s="3"/>
    </row>
    <row r="619" ht="15.75" customHeight="1">
      <c r="I619" s="3"/>
      <c r="J619" s="3"/>
      <c r="K619" s="3"/>
      <c r="L619" s="3"/>
      <c r="M619" s="3"/>
      <c r="Q619" s="3"/>
      <c r="R619" s="3"/>
      <c r="S619" s="3"/>
      <c r="T619" s="3"/>
      <c r="U619" s="3"/>
      <c r="V619" s="3"/>
    </row>
    <row r="620" ht="15.75" customHeight="1">
      <c r="I620" s="3"/>
      <c r="J620" s="3"/>
      <c r="K620" s="3"/>
      <c r="L620" s="3"/>
      <c r="M620" s="3"/>
      <c r="Q620" s="3"/>
      <c r="R620" s="3"/>
      <c r="S620" s="3"/>
      <c r="T620" s="3"/>
      <c r="U620" s="3"/>
      <c r="V620" s="3"/>
    </row>
    <row r="621" ht="15.75" customHeight="1">
      <c r="I621" s="3"/>
      <c r="J621" s="3"/>
      <c r="K621" s="3"/>
      <c r="L621" s="3"/>
      <c r="M621" s="3"/>
      <c r="Q621" s="3"/>
      <c r="R621" s="3"/>
      <c r="S621" s="3"/>
      <c r="T621" s="3"/>
      <c r="U621" s="3"/>
      <c r="V621" s="3"/>
    </row>
    <row r="622" ht="15.75" customHeight="1">
      <c r="I622" s="3"/>
      <c r="J622" s="3"/>
      <c r="K622" s="3"/>
      <c r="L622" s="3"/>
      <c r="M622" s="3"/>
      <c r="Q622" s="3"/>
      <c r="R622" s="3"/>
      <c r="S622" s="3"/>
      <c r="T622" s="3"/>
      <c r="U622" s="3"/>
      <c r="V622" s="3"/>
    </row>
    <row r="623" ht="15.75" customHeight="1">
      <c r="I623" s="3"/>
      <c r="J623" s="3"/>
      <c r="K623" s="3"/>
      <c r="L623" s="3"/>
      <c r="M623" s="3"/>
      <c r="Q623" s="3"/>
      <c r="R623" s="3"/>
      <c r="S623" s="3"/>
      <c r="T623" s="3"/>
      <c r="U623" s="3"/>
      <c r="V623" s="3"/>
    </row>
    <row r="624" ht="15.75" customHeight="1">
      <c r="I624" s="3"/>
      <c r="J624" s="3"/>
      <c r="K624" s="3"/>
      <c r="L624" s="3"/>
      <c r="M624" s="3"/>
      <c r="Q624" s="3"/>
      <c r="R624" s="3"/>
      <c r="S624" s="3"/>
      <c r="T624" s="3"/>
      <c r="U624" s="3"/>
      <c r="V624" s="3"/>
    </row>
    <row r="625" ht="15.75" customHeight="1">
      <c r="I625" s="3"/>
      <c r="J625" s="3"/>
      <c r="K625" s="3"/>
      <c r="L625" s="3"/>
      <c r="M625" s="3"/>
      <c r="Q625" s="3"/>
      <c r="R625" s="3"/>
      <c r="S625" s="3"/>
      <c r="T625" s="3"/>
      <c r="U625" s="3"/>
      <c r="V625" s="3"/>
    </row>
    <row r="626" ht="15.75" customHeight="1">
      <c r="I626" s="3"/>
      <c r="J626" s="3"/>
      <c r="K626" s="3"/>
      <c r="L626" s="3"/>
      <c r="M626" s="3"/>
      <c r="Q626" s="3"/>
      <c r="R626" s="3"/>
      <c r="S626" s="3"/>
      <c r="T626" s="3"/>
      <c r="U626" s="3"/>
      <c r="V626" s="3"/>
    </row>
    <row r="627" ht="15.75" customHeight="1">
      <c r="I627" s="3"/>
      <c r="J627" s="3"/>
      <c r="K627" s="3"/>
      <c r="L627" s="3"/>
      <c r="M627" s="3"/>
      <c r="Q627" s="3"/>
      <c r="R627" s="3"/>
      <c r="S627" s="3"/>
      <c r="T627" s="3"/>
      <c r="U627" s="3"/>
      <c r="V627" s="3"/>
    </row>
    <row r="628" ht="15.75" customHeight="1">
      <c r="I628" s="3"/>
      <c r="J628" s="3"/>
      <c r="K628" s="3"/>
      <c r="L628" s="3"/>
      <c r="M628" s="3"/>
      <c r="Q628" s="3"/>
      <c r="R628" s="3"/>
      <c r="S628" s="3"/>
      <c r="T628" s="3"/>
      <c r="U628" s="3"/>
      <c r="V628" s="3"/>
    </row>
    <row r="629" ht="15.75" customHeight="1">
      <c r="I629" s="3"/>
      <c r="J629" s="3"/>
      <c r="K629" s="3"/>
      <c r="L629" s="3"/>
      <c r="M629" s="3"/>
      <c r="Q629" s="3"/>
      <c r="R629" s="3"/>
      <c r="S629" s="3"/>
      <c r="T629" s="3"/>
      <c r="U629" s="3"/>
      <c r="V629" s="3"/>
    </row>
    <row r="630" ht="15.75" customHeight="1">
      <c r="I630" s="3"/>
      <c r="J630" s="3"/>
      <c r="K630" s="3"/>
      <c r="L630" s="3"/>
      <c r="M630" s="3"/>
      <c r="Q630" s="3"/>
      <c r="R630" s="3"/>
      <c r="S630" s="3"/>
      <c r="T630" s="3"/>
      <c r="U630" s="3"/>
      <c r="V630" s="3"/>
    </row>
    <row r="631" ht="15.75" customHeight="1">
      <c r="I631" s="3"/>
      <c r="J631" s="3"/>
      <c r="K631" s="3"/>
      <c r="L631" s="3"/>
      <c r="M631" s="3"/>
      <c r="Q631" s="3"/>
      <c r="R631" s="3"/>
      <c r="S631" s="3"/>
      <c r="T631" s="3"/>
      <c r="U631" s="3"/>
      <c r="V631" s="3"/>
    </row>
    <row r="632" ht="15.75" customHeight="1">
      <c r="I632" s="3"/>
      <c r="J632" s="3"/>
      <c r="K632" s="3"/>
      <c r="L632" s="3"/>
      <c r="M632" s="3"/>
      <c r="Q632" s="3"/>
      <c r="R632" s="3"/>
      <c r="S632" s="3"/>
      <c r="T632" s="3"/>
      <c r="U632" s="3"/>
      <c r="V632" s="3"/>
    </row>
    <row r="633" ht="15.75" customHeight="1">
      <c r="I633" s="3"/>
      <c r="J633" s="3"/>
      <c r="K633" s="3"/>
      <c r="L633" s="3"/>
      <c r="M633" s="3"/>
      <c r="Q633" s="3"/>
      <c r="R633" s="3"/>
      <c r="S633" s="3"/>
      <c r="T633" s="3"/>
      <c r="U633" s="3"/>
      <c r="V633" s="3"/>
    </row>
    <row r="634" ht="15.75" customHeight="1">
      <c r="I634" s="3"/>
      <c r="J634" s="3"/>
      <c r="K634" s="3"/>
      <c r="L634" s="3"/>
      <c r="M634" s="3"/>
      <c r="Q634" s="3"/>
      <c r="R634" s="3"/>
      <c r="S634" s="3"/>
      <c r="T634" s="3"/>
      <c r="U634" s="3"/>
      <c r="V634" s="3"/>
    </row>
    <row r="635" ht="15.75" customHeight="1">
      <c r="I635" s="3"/>
      <c r="J635" s="3"/>
      <c r="K635" s="3"/>
      <c r="L635" s="3"/>
      <c r="M635" s="3"/>
      <c r="Q635" s="3"/>
      <c r="R635" s="3"/>
      <c r="S635" s="3"/>
      <c r="T635" s="3"/>
      <c r="U635" s="3"/>
      <c r="V635" s="3"/>
    </row>
    <row r="636" ht="15.75" customHeight="1">
      <c r="I636" s="3"/>
      <c r="J636" s="3"/>
      <c r="K636" s="3"/>
      <c r="L636" s="3"/>
      <c r="M636" s="3"/>
      <c r="Q636" s="3"/>
      <c r="R636" s="3"/>
      <c r="S636" s="3"/>
      <c r="T636" s="3"/>
      <c r="U636" s="3"/>
      <c r="V636" s="3"/>
    </row>
    <row r="637" ht="15.75" customHeight="1">
      <c r="I637" s="3"/>
      <c r="J637" s="3"/>
      <c r="K637" s="3"/>
      <c r="L637" s="3"/>
      <c r="M637" s="3"/>
      <c r="Q637" s="3"/>
      <c r="R637" s="3"/>
      <c r="S637" s="3"/>
      <c r="T637" s="3"/>
      <c r="U637" s="3"/>
      <c r="V637" s="3"/>
    </row>
    <row r="638" ht="15.75" customHeight="1">
      <c r="I638" s="3"/>
      <c r="J638" s="3"/>
      <c r="K638" s="3"/>
      <c r="L638" s="3"/>
      <c r="M638" s="3"/>
      <c r="Q638" s="3"/>
      <c r="R638" s="3"/>
      <c r="S638" s="3"/>
      <c r="T638" s="3"/>
      <c r="U638" s="3"/>
      <c r="V638" s="3"/>
    </row>
    <row r="639" ht="15.75" customHeight="1">
      <c r="I639" s="3"/>
      <c r="J639" s="3"/>
      <c r="K639" s="3"/>
      <c r="L639" s="3"/>
      <c r="M639" s="3"/>
      <c r="Q639" s="3"/>
      <c r="R639" s="3"/>
      <c r="S639" s="3"/>
      <c r="T639" s="3"/>
      <c r="U639" s="3"/>
      <c r="V639" s="3"/>
    </row>
    <row r="640" ht="15.75" customHeight="1">
      <c r="I640" s="3"/>
      <c r="J640" s="3"/>
      <c r="K640" s="3"/>
      <c r="L640" s="3"/>
      <c r="M640" s="3"/>
      <c r="Q640" s="3"/>
      <c r="R640" s="3"/>
      <c r="S640" s="3"/>
      <c r="T640" s="3"/>
      <c r="U640" s="3"/>
      <c r="V640" s="3"/>
    </row>
    <row r="641" ht="15.75" customHeight="1">
      <c r="I641" s="3"/>
      <c r="J641" s="3"/>
      <c r="K641" s="3"/>
      <c r="L641" s="3"/>
      <c r="M641" s="3"/>
      <c r="Q641" s="3"/>
      <c r="R641" s="3"/>
      <c r="S641" s="3"/>
      <c r="T641" s="3"/>
      <c r="U641" s="3"/>
      <c r="V641" s="3"/>
    </row>
    <row r="642" ht="15.75" customHeight="1">
      <c r="I642" s="3"/>
      <c r="J642" s="3"/>
      <c r="K642" s="3"/>
      <c r="L642" s="3"/>
      <c r="M642" s="3"/>
      <c r="Q642" s="3"/>
      <c r="R642" s="3"/>
      <c r="S642" s="3"/>
      <c r="T642" s="3"/>
      <c r="U642" s="3"/>
      <c r="V642" s="3"/>
    </row>
    <row r="643" ht="15.75" customHeight="1">
      <c r="I643" s="3"/>
      <c r="J643" s="3"/>
      <c r="K643" s="3"/>
      <c r="L643" s="3"/>
      <c r="M643" s="3"/>
      <c r="Q643" s="3"/>
      <c r="R643" s="3"/>
      <c r="S643" s="3"/>
      <c r="T643" s="3"/>
      <c r="U643" s="3"/>
      <c r="V643" s="3"/>
    </row>
    <row r="644" ht="15.75" customHeight="1">
      <c r="I644" s="3"/>
      <c r="J644" s="3"/>
      <c r="K644" s="3"/>
      <c r="L644" s="3"/>
      <c r="M644" s="3"/>
      <c r="Q644" s="3"/>
      <c r="R644" s="3"/>
      <c r="S644" s="3"/>
      <c r="T644" s="3"/>
      <c r="U644" s="3"/>
      <c r="V644" s="3"/>
    </row>
    <row r="645" ht="15.75" customHeight="1">
      <c r="I645" s="3"/>
      <c r="J645" s="3"/>
      <c r="K645" s="3"/>
      <c r="L645" s="3"/>
      <c r="M645" s="3"/>
      <c r="Q645" s="3"/>
      <c r="R645" s="3"/>
      <c r="S645" s="3"/>
      <c r="T645" s="3"/>
      <c r="U645" s="3"/>
      <c r="V645" s="3"/>
    </row>
    <row r="646" ht="15.75" customHeight="1">
      <c r="I646" s="3"/>
      <c r="J646" s="3"/>
      <c r="K646" s="3"/>
      <c r="L646" s="3"/>
      <c r="M646" s="3"/>
      <c r="Q646" s="3"/>
      <c r="R646" s="3"/>
      <c r="S646" s="3"/>
      <c r="T646" s="3"/>
      <c r="U646" s="3"/>
      <c r="V646" s="3"/>
    </row>
    <row r="647" ht="15.75" customHeight="1">
      <c r="I647" s="3"/>
      <c r="J647" s="3"/>
      <c r="K647" s="3"/>
      <c r="L647" s="3"/>
      <c r="M647" s="3"/>
      <c r="Q647" s="3"/>
      <c r="R647" s="3"/>
      <c r="S647" s="3"/>
      <c r="T647" s="3"/>
      <c r="U647" s="3"/>
      <c r="V647" s="3"/>
    </row>
    <row r="648" ht="15.75" customHeight="1">
      <c r="I648" s="3"/>
      <c r="J648" s="3"/>
      <c r="K648" s="3"/>
      <c r="L648" s="3"/>
      <c r="M648" s="3"/>
      <c r="Q648" s="3"/>
      <c r="R648" s="3"/>
      <c r="S648" s="3"/>
      <c r="T648" s="3"/>
      <c r="U648" s="3"/>
      <c r="V648" s="3"/>
    </row>
    <row r="649" ht="15.75" customHeight="1">
      <c r="I649" s="3"/>
      <c r="J649" s="3"/>
      <c r="K649" s="3"/>
      <c r="L649" s="3"/>
      <c r="M649" s="3"/>
      <c r="Q649" s="3"/>
      <c r="R649" s="3"/>
      <c r="S649" s="3"/>
      <c r="T649" s="3"/>
      <c r="U649" s="3"/>
      <c r="V649" s="3"/>
    </row>
    <row r="650" ht="15.75" customHeight="1">
      <c r="I650" s="3"/>
      <c r="J650" s="3"/>
      <c r="K650" s="3"/>
      <c r="L650" s="3"/>
      <c r="M650" s="3"/>
      <c r="Q650" s="3"/>
      <c r="R650" s="3"/>
      <c r="S650" s="3"/>
      <c r="T650" s="3"/>
      <c r="U650" s="3"/>
      <c r="V650" s="3"/>
    </row>
    <row r="651" ht="15.75" customHeight="1">
      <c r="I651" s="3"/>
      <c r="J651" s="3"/>
      <c r="K651" s="3"/>
      <c r="L651" s="3"/>
      <c r="M651" s="3"/>
      <c r="Q651" s="3"/>
      <c r="R651" s="3"/>
      <c r="S651" s="3"/>
      <c r="T651" s="3"/>
      <c r="U651" s="3"/>
      <c r="V651" s="3"/>
    </row>
    <row r="652" ht="15.75" customHeight="1">
      <c r="I652" s="3"/>
      <c r="J652" s="3"/>
      <c r="K652" s="3"/>
      <c r="L652" s="3"/>
      <c r="M652" s="3"/>
      <c r="Q652" s="3"/>
      <c r="R652" s="3"/>
      <c r="S652" s="3"/>
      <c r="T652" s="3"/>
      <c r="U652" s="3"/>
      <c r="V652" s="3"/>
    </row>
    <row r="653" ht="15.75" customHeight="1">
      <c r="I653" s="3"/>
      <c r="J653" s="3"/>
      <c r="K653" s="3"/>
      <c r="L653" s="3"/>
      <c r="M653" s="3"/>
      <c r="Q653" s="3"/>
      <c r="R653" s="3"/>
      <c r="S653" s="3"/>
      <c r="T653" s="3"/>
      <c r="U653" s="3"/>
      <c r="V653" s="3"/>
    </row>
    <row r="654" ht="15.75" customHeight="1">
      <c r="I654" s="3"/>
      <c r="J654" s="3"/>
      <c r="K654" s="3"/>
      <c r="L654" s="3"/>
      <c r="M654" s="3"/>
      <c r="Q654" s="3"/>
      <c r="R654" s="3"/>
      <c r="S654" s="3"/>
      <c r="T654" s="3"/>
      <c r="U654" s="3"/>
      <c r="V654" s="3"/>
    </row>
    <row r="655" ht="15.75" customHeight="1">
      <c r="I655" s="3"/>
      <c r="J655" s="3"/>
      <c r="K655" s="3"/>
      <c r="L655" s="3"/>
      <c r="M655" s="3"/>
      <c r="Q655" s="3"/>
      <c r="R655" s="3"/>
      <c r="S655" s="3"/>
      <c r="T655" s="3"/>
      <c r="U655" s="3"/>
      <c r="V655" s="3"/>
    </row>
    <row r="656" ht="15.75" customHeight="1">
      <c r="I656" s="3"/>
      <c r="J656" s="3"/>
      <c r="K656" s="3"/>
      <c r="L656" s="3"/>
      <c r="M656" s="3"/>
      <c r="Q656" s="3"/>
      <c r="R656" s="3"/>
      <c r="S656" s="3"/>
      <c r="T656" s="3"/>
      <c r="U656" s="3"/>
      <c r="V656" s="3"/>
    </row>
    <row r="657" ht="15.75" customHeight="1">
      <c r="I657" s="3"/>
      <c r="J657" s="3"/>
      <c r="K657" s="3"/>
      <c r="L657" s="3"/>
      <c r="M657" s="3"/>
      <c r="Q657" s="3"/>
      <c r="R657" s="3"/>
      <c r="S657" s="3"/>
      <c r="T657" s="3"/>
      <c r="U657" s="3"/>
      <c r="V657" s="3"/>
    </row>
    <row r="658" ht="15.75" customHeight="1">
      <c r="I658" s="3"/>
      <c r="J658" s="3"/>
      <c r="K658" s="3"/>
      <c r="L658" s="3"/>
      <c r="M658" s="3"/>
      <c r="Q658" s="3"/>
      <c r="R658" s="3"/>
      <c r="S658" s="3"/>
      <c r="T658" s="3"/>
      <c r="U658" s="3"/>
      <c r="V658" s="3"/>
    </row>
    <row r="659" ht="15.75" customHeight="1">
      <c r="I659" s="3"/>
      <c r="J659" s="3"/>
      <c r="K659" s="3"/>
      <c r="L659" s="3"/>
      <c r="M659" s="3"/>
      <c r="Q659" s="3"/>
      <c r="R659" s="3"/>
      <c r="S659" s="3"/>
      <c r="T659" s="3"/>
      <c r="U659" s="3"/>
      <c r="V659" s="3"/>
    </row>
    <row r="660" ht="15.75" customHeight="1">
      <c r="I660" s="3"/>
      <c r="J660" s="3"/>
      <c r="K660" s="3"/>
      <c r="L660" s="3"/>
      <c r="M660" s="3"/>
      <c r="Q660" s="3"/>
      <c r="R660" s="3"/>
      <c r="S660" s="3"/>
      <c r="T660" s="3"/>
      <c r="U660" s="3"/>
      <c r="V660" s="3"/>
    </row>
    <row r="661" ht="15.75" customHeight="1">
      <c r="I661" s="3"/>
      <c r="J661" s="3"/>
      <c r="K661" s="3"/>
      <c r="L661" s="3"/>
      <c r="M661" s="3"/>
      <c r="Q661" s="3"/>
      <c r="R661" s="3"/>
      <c r="S661" s="3"/>
      <c r="T661" s="3"/>
      <c r="U661" s="3"/>
      <c r="V661" s="3"/>
    </row>
    <row r="662" ht="15.75" customHeight="1">
      <c r="I662" s="3"/>
      <c r="J662" s="3"/>
      <c r="K662" s="3"/>
      <c r="L662" s="3"/>
      <c r="M662" s="3"/>
      <c r="Q662" s="3"/>
      <c r="R662" s="3"/>
      <c r="S662" s="3"/>
      <c r="T662" s="3"/>
      <c r="U662" s="3"/>
      <c r="V662" s="3"/>
    </row>
    <row r="663" ht="15.75" customHeight="1">
      <c r="I663" s="3"/>
      <c r="J663" s="3"/>
      <c r="K663" s="3"/>
      <c r="L663" s="3"/>
      <c r="M663" s="3"/>
      <c r="Q663" s="3"/>
      <c r="R663" s="3"/>
      <c r="S663" s="3"/>
      <c r="T663" s="3"/>
      <c r="U663" s="3"/>
      <c r="V663" s="3"/>
    </row>
    <row r="664" ht="15.75" customHeight="1">
      <c r="I664" s="3"/>
      <c r="J664" s="3"/>
      <c r="K664" s="3"/>
      <c r="L664" s="3"/>
      <c r="M664" s="3"/>
      <c r="Q664" s="3"/>
      <c r="R664" s="3"/>
      <c r="S664" s="3"/>
      <c r="T664" s="3"/>
      <c r="U664" s="3"/>
      <c r="V664" s="3"/>
    </row>
    <row r="665" ht="15.75" customHeight="1">
      <c r="I665" s="3"/>
      <c r="J665" s="3"/>
      <c r="K665" s="3"/>
      <c r="L665" s="3"/>
      <c r="M665" s="3"/>
      <c r="Q665" s="3"/>
      <c r="R665" s="3"/>
      <c r="S665" s="3"/>
      <c r="T665" s="3"/>
      <c r="U665" s="3"/>
      <c r="V665" s="3"/>
    </row>
    <row r="666" ht="15.75" customHeight="1">
      <c r="I666" s="3"/>
      <c r="J666" s="3"/>
      <c r="K666" s="3"/>
      <c r="L666" s="3"/>
      <c r="M666" s="3"/>
      <c r="Q666" s="3"/>
      <c r="R666" s="3"/>
      <c r="S666" s="3"/>
      <c r="T666" s="3"/>
      <c r="U666" s="3"/>
      <c r="V666" s="3"/>
    </row>
    <row r="667" ht="15.75" customHeight="1">
      <c r="I667" s="3"/>
      <c r="J667" s="3"/>
      <c r="K667" s="3"/>
      <c r="L667" s="3"/>
      <c r="M667" s="3"/>
      <c r="Q667" s="3"/>
      <c r="R667" s="3"/>
      <c r="S667" s="3"/>
      <c r="T667" s="3"/>
      <c r="U667" s="3"/>
      <c r="V667" s="3"/>
    </row>
    <row r="668" ht="15.75" customHeight="1">
      <c r="I668" s="3"/>
      <c r="J668" s="3"/>
      <c r="K668" s="3"/>
      <c r="L668" s="3"/>
      <c r="M668" s="3"/>
      <c r="Q668" s="3"/>
      <c r="R668" s="3"/>
      <c r="S668" s="3"/>
      <c r="T668" s="3"/>
      <c r="U668" s="3"/>
      <c r="V668" s="3"/>
    </row>
    <row r="669" ht="15.75" customHeight="1">
      <c r="I669" s="3"/>
      <c r="J669" s="3"/>
      <c r="K669" s="3"/>
      <c r="L669" s="3"/>
      <c r="M669" s="3"/>
      <c r="Q669" s="3"/>
      <c r="R669" s="3"/>
      <c r="S669" s="3"/>
      <c r="T669" s="3"/>
      <c r="U669" s="3"/>
      <c r="V669" s="3"/>
    </row>
    <row r="670" ht="15.75" customHeight="1">
      <c r="I670" s="3"/>
      <c r="J670" s="3"/>
      <c r="K670" s="3"/>
      <c r="L670" s="3"/>
      <c r="M670" s="3"/>
      <c r="Q670" s="3"/>
      <c r="R670" s="3"/>
      <c r="S670" s="3"/>
      <c r="T670" s="3"/>
      <c r="U670" s="3"/>
      <c r="V670" s="3"/>
    </row>
    <row r="671" ht="15.75" customHeight="1">
      <c r="I671" s="3"/>
      <c r="J671" s="3"/>
      <c r="K671" s="3"/>
      <c r="L671" s="3"/>
      <c r="M671" s="3"/>
      <c r="Q671" s="3"/>
      <c r="R671" s="3"/>
      <c r="S671" s="3"/>
      <c r="T671" s="3"/>
      <c r="U671" s="3"/>
      <c r="V671" s="3"/>
    </row>
    <row r="672" ht="15.75" customHeight="1">
      <c r="I672" s="3"/>
      <c r="J672" s="3"/>
      <c r="K672" s="3"/>
      <c r="L672" s="3"/>
      <c r="M672" s="3"/>
      <c r="Q672" s="3"/>
      <c r="R672" s="3"/>
      <c r="S672" s="3"/>
      <c r="T672" s="3"/>
      <c r="U672" s="3"/>
      <c r="V672" s="3"/>
    </row>
    <row r="673" ht="15.75" customHeight="1">
      <c r="I673" s="3"/>
      <c r="J673" s="3"/>
      <c r="K673" s="3"/>
      <c r="L673" s="3"/>
      <c r="M673" s="3"/>
      <c r="Q673" s="3"/>
      <c r="R673" s="3"/>
      <c r="S673" s="3"/>
      <c r="T673" s="3"/>
      <c r="U673" s="3"/>
      <c r="V673" s="3"/>
    </row>
    <row r="674" ht="15.75" customHeight="1">
      <c r="I674" s="3"/>
      <c r="J674" s="3"/>
      <c r="K674" s="3"/>
      <c r="L674" s="3"/>
      <c r="M674" s="3"/>
      <c r="Q674" s="3"/>
      <c r="R674" s="3"/>
      <c r="S674" s="3"/>
      <c r="T674" s="3"/>
      <c r="U674" s="3"/>
      <c r="V674" s="3"/>
    </row>
    <row r="675" ht="15.75" customHeight="1">
      <c r="I675" s="3"/>
      <c r="J675" s="3"/>
      <c r="K675" s="3"/>
      <c r="L675" s="3"/>
      <c r="M675" s="3"/>
      <c r="Q675" s="3"/>
      <c r="R675" s="3"/>
      <c r="S675" s="3"/>
      <c r="T675" s="3"/>
      <c r="U675" s="3"/>
      <c r="V675" s="3"/>
    </row>
    <row r="676" ht="15.75" customHeight="1">
      <c r="I676" s="3"/>
      <c r="J676" s="3"/>
      <c r="K676" s="3"/>
      <c r="L676" s="3"/>
      <c r="M676" s="3"/>
      <c r="Q676" s="3"/>
      <c r="R676" s="3"/>
      <c r="S676" s="3"/>
      <c r="T676" s="3"/>
      <c r="U676" s="3"/>
      <c r="V676" s="3"/>
    </row>
    <row r="677" ht="15.75" customHeight="1">
      <c r="I677" s="3"/>
      <c r="J677" s="3"/>
      <c r="K677" s="3"/>
      <c r="L677" s="3"/>
      <c r="M677" s="3"/>
      <c r="Q677" s="3"/>
      <c r="R677" s="3"/>
      <c r="S677" s="3"/>
      <c r="T677" s="3"/>
      <c r="U677" s="3"/>
      <c r="V677" s="3"/>
    </row>
    <row r="678" ht="15.75" customHeight="1">
      <c r="I678" s="3"/>
      <c r="J678" s="3"/>
      <c r="K678" s="3"/>
      <c r="L678" s="3"/>
      <c r="M678" s="3"/>
      <c r="Q678" s="3"/>
      <c r="R678" s="3"/>
      <c r="S678" s="3"/>
      <c r="T678" s="3"/>
      <c r="U678" s="3"/>
      <c r="V678" s="3"/>
    </row>
    <row r="679" ht="15.75" customHeight="1">
      <c r="I679" s="3"/>
      <c r="J679" s="3"/>
      <c r="K679" s="3"/>
      <c r="L679" s="3"/>
      <c r="M679" s="3"/>
      <c r="Q679" s="3"/>
      <c r="R679" s="3"/>
      <c r="S679" s="3"/>
      <c r="T679" s="3"/>
      <c r="U679" s="3"/>
      <c r="V679" s="3"/>
    </row>
    <row r="680" ht="15.75" customHeight="1">
      <c r="I680" s="3"/>
      <c r="J680" s="3"/>
      <c r="K680" s="3"/>
      <c r="L680" s="3"/>
      <c r="M680" s="3"/>
      <c r="Q680" s="3"/>
      <c r="R680" s="3"/>
      <c r="S680" s="3"/>
      <c r="T680" s="3"/>
      <c r="U680" s="3"/>
      <c r="V680" s="3"/>
    </row>
    <row r="681" ht="15.75" customHeight="1">
      <c r="I681" s="3"/>
      <c r="J681" s="3"/>
      <c r="K681" s="3"/>
      <c r="L681" s="3"/>
      <c r="M681" s="3"/>
      <c r="Q681" s="3"/>
      <c r="R681" s="3"/>
      <c r="S681" s="3"/>
      <c r="T681" s="3"/>
      <c r="U681" s="3"/>
      <c r="V681" s="3"/>
    </row>
    <row r="682" ht="15.75" customHeight="1">
      <c r="I682" s="3"/>
      <c r="J682" s="3"/>
      <c r="K682" s="3"/>
      <c r="L682" s="3"/>
      <c r="M682" s="3"/>
      <c r="Q682" s="3"/>
      <c r="R682" s="3"/>
      <c r="S682" s="3"/>
      <c r="T682" s="3"/>
      <c r="U682" s="3"/>
      <c r="V682" s="3"/>
    </row>
    <row r="683" ht="15.75" customHeight="1">
      <c r="I683" s="3"/>
      <c r="J683" s="3"/>
      <c r="K683" s="3"/>
      <c r="L683" s="3"/>
      <c r="M683" s="3"/>
      <c r="Q683" s="3"/>
      <c r="R683" s="3"/>
      <c r="S683" s="3"/>
      <c r="T683" s="3"/>
      <c r="U683" s="3"/>
      <c r="V683" s="3"/>
    </row>
    <row r="684" ht="15.75" customHeight="1">
      <c r="I684" s="3"/>
      <c r="J684" s="3"/>
      <c r="K684" s="3"/>
      <c r="L684" s="3"/>
      <c r="M684" s="3"/>
      <c r="Q684" s="3"/>
      <c r="R684" s="3"/>
      <c r="S684" s="3"/>
      <c r="T684" s="3"/>
      <c r="U684" s="3"/>
      <c r="V684" s="3"/>
    </row>
    <row r="685" ht="15.75" customHeight="1">
      <c r="I685" s="3"/>
      <c r="J685" s="3"/>
      <c r="K685" s="3"/>
      <c r="L685" s="3"/>
      <c r="M685" s="3"/>
      <c r="Q685" s="3"/>
      <c r="R685" s="3"/>
      <c r="S685" s="3"/>
      <c r="T685" s="3"/>
      <c r="U685" s="3"/>
      <c r="V685" s="3"/>
    </row>
    <row r="686" ht="15.75" customHeight="1">
      <c r="I686" s="3"/>
      <c r="J686" s="3"/>
      <c r="K686" s="3"/>
      <c r="L686" s="3"/>
      <c r="M686" s="3"/>
      <c r="Q686" s="3"/>
      <c r="R686" s="3"/>
      <c r="S686" s="3"/>
      <c r="T686" s="3"/>
      <c r="U686" s="3"/>
      <c r="V686" s="3"/>
    </row>
    <row r="687" ht="15.75" customHeight="1">
      <c r="I687" s="3"/>
      <c r="J687" s="3"/>
      <c r="K687" s="3"/>
      <c r="L687" s="3"/>
      <c r="M687" s="3"/>
      <c r="Q687" s="3"/>
      <c r="R687" s="3"/>
      <c r="S687" s="3"/>
      <c r="T687" s="3"/>
      <c r="U687" s="3"/>
      <c r="V687" s="3"/>
    </row>
    <row r="688" ht="15.75" customHeight="1">
      <c r="I688" s="3"/>
      <c r="J688" s="3"/>
      <c r="K688" s="3"/>
      <c r="L688" s="3"/>
      <c r="M688" s="3"/>
      <c r="Q688" s="3"/>
      <c r="R688" s="3"/>
      <c r="S688" s="3"/>
      <c r="T688" s="3"/>
      <c r="U688" s="3"/>
      <c r="V688" s="3"/>
    </row>
    <row r="689" ht="15.75" customHeight="1">
      <c r="I689" s="3"/>
      <c r="J689" s="3"/>
      <c r="K689" s="3"/>
      <c r="L689" s="3"/>
      <c r="M689" s="3"/>
      <c r="Q689" s="3"/>
      <c r="R689" s="3"/>
      <c r="S689" s="3"/>
      <c r="T689" s="3"/>
      <c r="U689" s="3"/>
      <c r="V689" s="3"/>
    </row>
    <row r="690" ht="15.75" customHeight="1">
      <c r="I690" s="3"/>
      <c r="J690" s="3"/>
      <c r="K690" s="3"/>
      <c r="L690" s="3"/>
      <c r="M690" s="3"/>
      <c r="Q690" s="3"/>
      <c r="R690" s="3"/>
      <c r="S690" s="3"/>
      <c r="T690" s="3"/>
      <c r="U690" s="3"/>
      <c r="V690" s="3"/>
    </row>
    <row r="691" ht="15.75" customHeight="1">
      <c r="I691" s="3"/>
      <c r="J691" s="3"/>
      <c r="K691" s="3"/>
      <c r="L691" s="3"/>
      <c r="M691" s="3"/>
      <c r="Q691" s="3"/>
      <c r="R691" s="3"/>
      <c r="S691" s="3"/>
      <c r="T691" s="3"/>
      <c r="U691" s="3"/>
      <c r="V691" s="3"/>
    </row>
    <row r="692" ht="15.75" customHeight="1">
      <c r="I692" s="3"/>
      <c r="J692" s="3"/>
      <c r="K692" s="3"/>
      <c r="L692" s="3"/>
      <c r="M692" s="3"/>
      <c r="Q692" s="3"/>
      <c r="R692" s="3"/>
      <c r="S692" s="3"/>
      <c r="T692" s="3"/>
      <c r="U692" s="3"/>
      <c r="V692" s="3"/>
    </row>
    <row r="693" ht="15.75" customHeight="1">
      <c r="I693" s="3"/>
      <c r="J693" s="3"/>
      <c r="K693" s="3"/>
      <c r="L693" s="3"/>
      <c r="M693" s="3"/>
      <c r="Q693" s="3"/>
      <c r="R693" s="3"/>
      <c r="S693" s="3"/>
      <c r="T693" s="3"/>
      <c r="U693" s="3"/>
      <c r="V693" s="3"/>
    </row>
    <row r="694" ht="15.75" customHeight="1">
      <c r="I694" s="3"/>
      <c r="J694" s="3"/>
      <c r="K694" s="3"/>
      <c r="L694" s="3"/>
      <c r="M694" s="3"/>
      <c r="Q694" s="3"/>
      <c r="R694" s="3"/>
      <c r="S694" s="3"/>
      <c r="T694" s="3"/>
      <c r="U694" s="3"/>
      <c r="V694" s="3"/>
    </row>
    <row r="695" ht="15.75" customHeight="1">
      <c r="I695" s="3"/>
      <c r="J695" s="3"/>
      <c r="K695" s="3"/>
      <c r="L695" s="3"/>
      <c r="M695" s="3"/>
      <c r="Q695" s="3"/>
      <c r="R695" s="3"/>
      <c r="S695" s="3"/>
      <c r="T695" s="3"/>
      <c r="U695" s="3"/>
      <c r="V695" s="3"/>
    </row>
    <row r="696" ht="15.75" customHeight="1">
      <c r="I696" s="3"/>
      <c r="J696" s="3"/>
      <c r="K696" s="3"/>
      <c r="L696" s="3"/>
      <c r="M696" s="3"/>
      <c r="Q696" s="3"/>
      <c r="R696" s="3"/>
      <c r="S696" s="3"/>
      <c r="T696" s="3"/>
      <c r="U696" s="3"/>
      <c r="V696" s="3"/>
    </row>
    <row r="697" ht="15.75" customHeight="1">
      <c r="I697" s="3"/>
      <c r="J697" s="3"/>
      <c r="K697" s="3"/>
      <c r="L697" s="3"/>
      <c r="M697" s="3"/>
      <c r="Q697" s="3"/>
      <c r="R697" s="3"/>
      <c r="S697" s="3"/>
      <c r="T697" s="3"/>
      <c r="U697" s="3"/>
      <c r="V697" s="3"/>
    </row>
    <row r="698" ht="15.75" customHeight="1">
      <c r="I698" s="3"/>
      <c r="J698" s="3"/>
      <c r="K698" s="3"/>
      <c r="L698" s="3"/>
      <c r="M698" s="3"/>
      <c r="Q698" s="3"/>
      <c r="R698" s="3"/>
      <c r="S698" s="3"/>
      <c r="T698" s="3"/>
      <c r="U698" s="3"/>
      <c r="V698" s="3"/>
    </row>
    <row r="699" ht="15.75" customHeight="1">
      <c r="I699" s="3"/>
      <c r="J699" s="3"/>
      <c r="K699" s="3"/>
      <c r="L699" s="3"/>
      <c r="M699" s="3"/>
      <c r="Q699" s="3"/>
      <c r="R699" s="3"/>
      <c r="S699" s="3"/>
      <c r="T699" s="3"/>
      <c r="U699" s="3"/>
      <c r="V699" s="3"/>
    </row>
    <row r="700" ht="15.75" customHeight="1">
      <c r="I700" s="3"/>
      <c r="J700" s="3"/>
      <c r="K700" s="3"/>
      <c r="L700" s="3"/>
      <c r="M700" s="3"/>
      <c r="Q700" s="3"/>
      <c r="R700" s="3"/>
      <c r="S700" s="3"/>
      <c r="T700" s="3"/>
      <c r="U700" s="3"/>
      <c r="V700" s="3"/>
    </row>
    <row r="701" ht="15.75" customHeight="1">
      <c r="I701" s="3"/>
      <c r="J701" s="3"/>
      <c r="K701" s="3"/>
      <c r="L701" s="3"/>
      <c r="M701" s="3"/>
      <c r="Q701" s="3"/>
      <c r="R701" s="3"/>
      <c r="S701" s="3"/>
      <c r="T701" s="3"/>
      <c r="U701" s="3"/>
      <c r="V701" s="3"/>
    </row>
    <row r="702" ht="15.75" customHeight="1">
      <c r="I702" s="3"/>
      <c r="J702" s="3"/>
      <c r="K702" s="3"/>
      <c r="L702" s="3"/>
      <c r="M702" s="3"/>
      <c r="Q702" s="3"/>
      <c r="R702" s="3"/>
      <c r="S702" s="3"/>
      <c r="T702" s="3"/>
      <c r="U702" s="3"/>
      <c r="V702" s="3"/>
    </row>
    <row r="703" ht="15.75" customHeight="1">
      <c r="I703" s="3"/>
      <c r="J703" s="3"/>
      <c r="K703" s="3"/>
      <c r="L703" s="3"/>
      <c r="M703" s="3"/>
      <c r="Q703" s="3"/>
      <c r="R703" s="3"/>
      <c r="S703" s="3"/>
      <c r="T703" s="3"/>
      <c r="U703" s="3"/>
      <c r="V703" s="3"/>
    </row>
    <row r="704" ht="15.75" customHeight="1">
      <c r="I704" s="3"/>
      <c r="J704" s="3"/>
      <c r="K704" s="3"/>
      <c r="L704" s="3"/>
      <c r="M704" s="3"/>
      <c r="Q704" s="3"/>
      <c r="R704" s="3"/>
      <c r="S704" s="3"/>
      <c r="T704" s="3"/>
      <c r="U704" s="3"/>
      <c r="V704" s="3"/>
    </row>
    <row r="705" ht="15.75" customHeight="1">
      <c r="I705" s="3"/>
      <c r="J705" s="3"/>
      <c r="K705" s="3"/>
      <c r="L705" s="3"/>
      <c r="M705" s="3"/>
      <c r="Q705" s="3"/>
      <c r="R705" s="3"/>
      <c r="S705" s="3"/>
      <c r="T705" s="3"/>
      <c r="U705" s="3"/>
      <c r="V705" s="3"/>
    </row>
    <row r="706" ht="15.75" customHeight="1">
      <c r="I706" s="3"/>
      <c r="J706" s="3"/>
      <c r="K706" s="3"/>
      <c r="L706" s="3"/>
      <c r="M706" s="3"/>
      <c r="Q706" s="3"/>
      <c r="R706" s="3"/>
      <c r="S706" s="3"/>
      <c r="T706" s="3"/>
      <c r="U706" s="3"/>
      <c r="V706" s="3"/>
    </row>
    <row r="707" ht="15.75" customHeight="1">
      <c r="I707" s="3"/>
      <c r="J707" s="3"/>
      <c r="K707" s="3"/>
      <c r="L707" s="3"/>
      <c r="M707" s="3"/>
      <c r="Q707" s="3"/>
      <c r="R707" s="3"/>
      <c r="S707" s="3"/>
      <c r="T707" s="3"/>
      <c r="U707" s="3"/>
      <c r="V707" s="3"/>
    </row>
    <row r="708" ht="15.75" customHeight="1">
      <c r="I708" s="3"/>
      <c r="J708" s="3"/>
      <c r="K708" s="3"/>
      <c r="L708" s="3"/>
      <c r="M708" s="3"/>
      <c r="Q708" s="3"/>
      <c r="R708" s="3"/>
      <c r="S708" s="3"/>
      <c r="T708" s="3"/>
      <c r="U708" s="3"/>
      <c r="V708" s="3"/>
    </row>
    <row r="709" ht="15.75" customHeight="1">
      <c r="I709" s="3"/>
      <c r="J709" s="3"/>
      <c r="K709" s="3"/>
      <c r="L709" s="3"/>
      <c r="M709" s="3"/>
      <c r="Q709" s="3"/>
      <c r="R709" s="3"/>
      <c r="S709" s="3"/>
      <c r="T709" s="3"/>
      <c r="U709" s="3"/>
      <c r="V709" s="3"/>
    </row>
    <row r="710" ht="15.75" customHeight="1">
      <c r="I710" s="3"/>
      <c r="J710" s="3"/>
      <c r="K710" s="3"/>
      <c r="L710" s="3"/>
      <c r="M710" s="3"/>
      <c r="Q710" s="3"/>
      <c r="R710" s="3"/>
      <c r="S710" s="3"/>
      <c r="T710" s="3"/>
      <c r="U710" s="3"/>
      <c r="V710" s="3"/>
    </row>
    <row r="711" ht="15.75" customHeight="1">
      <c r="I711" s="3"/>
      <c r="J711" s="3"/>
      <c r="K711" s="3"/>
      <c r="L711" s="3"/>
      <c r="M711" s="3"/>
      <c r="Q711" s="3"/>
      <c r="R711" s="3"/>
      <c r="S711" s="3"/>
      <c r="T711" s="3"/>
      <c r="U711" s="3"/>
      <c r="V711" s="3"/>
    </row>
    <row r="712" ht="15.75" customHeight="1">
      <c r="I712" s="3"/>
      <c r="J712" s="3"/>
      <c r="K712" s="3"/>
      <c r="L712" s="3"/>
      <c r="M712" s="3"/>
      <c r="Q712" s="3"/>
      <c r="R712" s="3"/>
      <c r="S712" s="3"/>
      <c r="T712" s="3"/>
      <c r="U712" s="3"/>
      <c r="V712" s="3"/>
    </row>
    <row r="713" ht="15.75" customHeight="1">
      <c r="I713" s="3"/>
      <c r="J713" s="3"/>
      <c r="K713" s="3"/>
      <c r="L713" s="3"/>
      <c r="M713" s="3"/>
      <c r="Q713" s="3"/>
      <c r="R713" s="3"/>
      <c r="S713" s="3"/>
      <c r="T713" s="3"/>
      <c r="U713" s="3"/>
      <c r="V713" s="3"/>
    </row>
    <row r="714" ht="15.75" customHeight="1">
      <c r="I714" s="3"/>
      <c r="J714" s="3"/>
      <c r="K714" s="3"/>
      <c r="L714" s="3"/>
      <c r="M714" s="3"/>
      <c r="Q714" s="3"/>
      <c r="R714" s="3"/>
      <c r="S714" s="3"/>
      <c r="T714" s="3"/>
      <c r="U714" s="3"/>
      <c r="V714" s="3"/>
    </row>
    <row r="715" ht="15.75" customHeight="1">
      <c r="I715" s="3"/>
      <c r="J715" s="3"/>
      <c r="K715" s="3"/>
      <c r="L715" s="3"/>
      <c r="M715" s="3"/>
      <c r="Q715" s="3"/>
      <c r="R715" s="3"/>
      <c r="S715" s="3"/>
      <c r="T715" s="3"/>
      <c r="U715" s="3"/>
      <c r="V715" s="3"/>
    </row>
    <row r="716" ht="15.75" customHeight="1">
      <c r="I716" s="3"/>
      <c r="J716" s="3"/>
      <c r="K716" s="3"/>
      <c r="L716" s="3"/>
      <c r="M716" s="3"/>
      <c r="Q716" s="3"/>
      <c r="R716" s="3"/>
      <c r="S716" s="3"/>
      <c r="T716" s="3"/>
      <c r="U716" s="3"/>
      <c r="V716" s="3"/>
    </row>
    <row r="717" ht="15.75" customHeight="1">
      <c r="I717" s="3"/>
      <c r="J717" s="3"/>
      <c r="K717" s="3"/>
      <c r="L717" s="3"/>
      <c r="M717" s="3"/>
      <c r="Q717" s="3"/>
      <c r="R717" s="3"/>
      <c r="S717" s="3"/>
      <c r="T717" s="3"/>
      <c r="U717" s="3"/>
      <c r="V717" s="3"/>
    </row>
    <row r="718" ht="15.75" customHeight="1">
      <c r="I718" s="3"/>
      <c r="J718" s="3"/>
      <c r="K718" s="3"/>
      <c r="L718" s="3"/>
      <c r="M718" s="3"/>
      <c r="Q718" s="3"/>
      <c r="R718" s="3"/>
      <c r="S718" s="3"/>
      <c r="T718" s="3"/>
      <c r="U718" s="3"/>
      <c r="V718" s="3"/>
    </row>
    <row r="719" ht="15.75" customHeight="1">
      <c r="I719" s="3"/>
      <c r="J719" s="3"/>
      <c r="K719" s="3"/>
      <c r="L719" s="3"/>
      <c r="M719" s="3"/>
      <c r="Q719" s="3"/>
      <c r="R719" s="3"/>
      <c r="S719" s="3"/>
      <c r="T719" s="3"/>
      <c r="U719" s="3"/>
      <c r="V719" s="3"/>
    </row>
    <row r="720" ht="15.75" customHeight="1">
      <c r="I720" s="3"/>
      <c r="J720" s="3"/>
      <c r="K720" s="3"/>
      <c r="L720" s="3"/>
      <c r="M720" s="3"/>
      <c r="Q720" s="3"/>
      <c r="R720" s="3"/>
      <c r="S720" s="3"/>
      <c r="T720" s="3"/>
      <c r="U720" s="3"/>
      <c r="V720" s="3"/>
    </row>
    <row r="721" ht="15.75" customHeight="1">
      <c r="I721" s="3"/>
      <c r="J721" s="3"/>
      <c r="K721" s="3"/>
      <c r="L721" s="3"/>
      <c r="M721" s="3"/>
      <c r="Q721" s="3"/>
      <c r="R721" s="3"/>
      <c r="S721" s="3"/>
      <c r="T721" s="3"/>
      <c r="U721" s="3"/>
      <c r="V721" s="3"/>
    </row>
    <row r="722" ht="15.75" customHeight="1">
      <c r="I722" s="3"/>
      <c r="J722" s="3"/>
      <c r="K722" s="3"/>
      <c r="L722" s="3"/>
      <c r="M722" s="3"/>
      <c r="Q722" s="3"/>
      <c r="R722" s="3"/>
      <c r="S722" s="3"/>
      <c r="T722" s="3"/>
      <c r="U722" s="3"/>
      <c r="V722" s="3"/>
    </row>
    <row r="723" ht="15.75" customHeight="1">
      <c r="I723" s="3"/>
      <c r="J723" s="3"/>
      <c r="K723" s="3"/>
      <c r="L723" s="3"/>
      <c r="M723" s="3"/>
      <c r="Q723" s="3"/>
      <c r="R723" s="3"/>
      <c r="S723" s="3"/>
      <c r="T723" s="3"/>
      <c r="U723" s="3"/>
      <c r="V723" s="3"/>
    </row>
    <row r="724" ht="15.75" customHeight="1">
      <c r="I724" s="3"/>
      <c r="J724" s="3"/>
      <c r="K724" s="3"/>
      <c r="L724" s="3"/>
      <c r="M724" s="3"/>
      <c r="Q724" s="3"/>
      <c r="R724" s="3"/>
      <c r="S724" s="3"/>
      <c r="T724" s="3"/>
      <c r="U724" s="3"/>
      <c r="V724" s="3"/>
    </row>
    <row r="725" ht="15.75" customHeight="1">
      <c r="I725" s="3"/>
      <c r="J725" s="3"/>
      <c r="K725" s="3"/>
      <c r="L725" s="3"/>
      <c r="M725" s="3"/>
      <c r="Q725" s="3"/>
      <c r="R725" s="3"/>
      <c r="S725" s="3"/>
      <c r="T725" s="3"/>
      <c r="U725" s="3"/>
      <c r="V725" s="3"/>
    </row>
    <row r="726" ht="15.75" customHeight="1">
      <c r="I726" s="3"/>
      <c r="J726" s="3"/>
      <c r="K726" s="3"/>
      <c r="L726" s="3"/>
      <c r="M726" s="3"/>
      <c r="Q726" s="3"/>
      <c r="R726" s="3"/>
      <c r="S726" s="3"/>
      <c r="T726" s="3"/>
      <c r="U726" s="3"/>
      <c r="V726" s="3"/>
    </row>
    <row r="727" ht="15.75" customHeight="1">
      <c r="I727" s="3"/>
      <c r="J727" s="3"/>
      <c r="K727" s="3"/>
      <c r="L727" s="3"/>
      <c r="M727" s="3"/>
      <c r="Q727" s="3"/>
      <c r="R727" s="3"/>
      <c r="S727" s="3"/>
      <c r="T727" s="3"/>
      <c r="U727" s="3"/>
      <c r="V727" s="3"/>
    </row>
    <row r="728" ht="15.75" customHeight="1">
      <c r="I728" s="3"/>
      <c r="J728" s="3"/>
      <c r="K728" s="3"/>
      <c r="L728" s="3"/>
      <c r="M728" s="3"/>
      <c r="Q728" s="3"/>
      <c r="R728" s="3"/>
      <c r="S728" s="3"/>
      <c r="T728" s="3"/>
      <c r="U728" s="3"/>
      <c r="V728" s="3"/>
    </row>
    <row r="729" ht="15.75" customHeight="1">
      <c r="I729" s="3"/>
      <c r="J729" s="3"/>
      <c r="K729" s="3"/>
      <c r="L729" s="3"/>
      <c r="M729" s="3"/>
      <c r="Q729" s="3"/>
      <c r="R729" s="3"/>
      <c r="S729" s="3"/>
      <c r="T729" s="3"/>
      <c r="U729" s="3"/>
      <c r="V729" s="3"/>
    </row>
    <row r="730" ht="15.75" customHeight="1">
      <c r="I730" s="3"/>
      <c r="J730" s="3"/>
      <c r="K730" s="3"/>
      <c r="L730" s="3"/>
      <c r="M730" s="3"/>
      <c r="Q730" s="3"/>
      <c r="R730" s="3"/>
      <c r="S730" s="3"/>
      <c r="T730" s="3"/>
      <c r="U730" s="3"/>
      <c r="V730" s="3"/>
    </row>
    <row r="731" ht="15.75" customHeight="1">
      <c r="I731" s="3"/>
      <c r="J731" s="3"/>
      <c r="K731" s="3"/>
      <c r="L731" s="3"/>
      <c r="M731" s="3"/>
      <c r="Q731" s="3"/>
      <c r="R731" s="3"/>
      <c r="S731" s="3"/>
      <c r="T731" s="3"/>
      <c r="U731" s="3"/>
      <c r="V731" s="3"/>
    </row>
    <row r="732" ht="15.75" customHeight="1">
      <c r="I732" s="3"/>
      <c r="J732" s="3"/>
      <c r="K732" s="3"/>
      <c r="L732" s="3"/>
      <c r="M732" s="3"/>
      <c r="Q732" s="3"/>
      <c r="R732" s="3"/>
      <c r="S732" s="3"/>
      <c r="T732" s="3"/>
      <c r="U732" s="3"/>
      <c r="V732" s="3"/>
    </row>
    <row r="733" ht="15.75" customHeight="1">
      <c r="I733" s="3"/>
      <c r="J733" s="3"/>
      <c r="K733" s="3"/>
      <c r="L733" s="3"/>
      <c r="M733" s="3"/>
      <c r="Q733" s="3"/>
      <c r="R733" s="3"/>
      <c r="S733" s="3"/>
      <c r="T733" s="3"/>
      <c r="U733" s="3"/>
      <c r="V733" s="3"/>
    </row>
    <row r="734" ht="15.75" customHeight="1">
      <c r="I734" s="3"/>
      <c r="J734" s="3"/>
      <c r="K734" s="3"/>
      <c r="L734" s="3"/>
      <c r="M734" s="3"/>
      <c r="Q734" s="3"/>
      <c r="R734" s="3"/>
      <c r="S734" s="3"/>
      <c r="T734" s="3"/>
      <c r="U734" s="3"/>
      <c r="V734" s="3"/>
    </row>
    <row r="735" ht="15.75" customHeight="1">
      <c r="I735" s="3"/>
      <c r="J735" s="3"/>
      <c r="K735" s="3"/>
      <c r="L735" s="3"/>
      <c r="M735" s="3"/>
      <c r="Q735" s="3"/>
      <c r="R735" s="3"/>
      <c r="S735" s="3"/>
      <c r="T735" s="3"/>
      <c r="U735" s="3"/>
      <c r="V735" s="3"/>
    </row>
    <row r="736" ht="15.75" customHeight="1">
      <c r="I736" s="3"/>
      <c r="J736" s="3"/>
      <c r="K736" s="3"/>
      <c r="L736" s="3"/>
      <c r="M736" s="3"/>
      <c r="Q736" s="3"/>
      <c r="R736" s="3"/>
      <c r="S736" s="3"/>
      <c r="T736" s="3"/>
      <c r="U736" s="3"/>
      <c r="V736" s="3"/>
    </row>
    <row r="737" ht="15.75" customHeight="1">
      <c r="I737" s="3"/>
      <c r="J737" s="3"/>
      <c r="K737" s="3"/>
      <c r="L737" s="3"/>
      <c r="M737" s="3"/>
      <c r="Q737" s="3"/>
      <c r="R737" s="3"/>
      <c r="S737" s="3"/>
      <c r="T737" s="3"/>
      <c r="U737" s="3"/>
      <c r="V737" s="3"/>
    </row>
    <row r="738" ht="15.75" customHeight="1">
      <c r="I738" s="3"/>
      <c r="J738" s="3"/>
      <c r="K738" s="3"/>
      <c r="L738" s="3"/>
      <c r="M738" s="3"/>
      <c r="Q738" s="3"/>
      <c r="R738" s="3"/>
      <c r="S738" s="3"/>
      <c r="T738" s="3"/>
      <c r="U738" s="3"/>
      <c r="V738" s="3"/>
    </row>
    <row r="739" ht="15.75" customHeight="1">
      <c r="I739" s="3"/>
      <c r="J739" s="3"/>
      <c r="K739" s="3"/>
      <c r="L739" s="3"/>
      <c r="M739" s="3"/>
      <c r="Q739" s="3"/>
      <c r="R739" s="3"/>
      <c r="S739" s="3"/>
      <c r="T739" s="3"/>
      <c r="U739" s="3"/>
      <c r="V739" s="3"/>
    </row>
    <row r="740" ht="15.75" customHeight="1">
      <c r="I740" s="3"/>
      <c r="J740" s="3"/>
      <c r="K740" s="3"/>
      <c r="L740" s="3"/>
      <c r="M740" s="3"/>
      <c r="Q740" s="3"/>
      <c r="R740" s="3"/>
      <c r="S740" s="3"/>
      <c r="T740" s="3"/>
      <c r="U740" s="3"/>
      <c r="V740" s="3"/>
    </row>
    <row r="741" ht="15.75" customHeight="1">
      <c r="I741" s="3"/>
      <c r="J741" s="3"/>
      <c r="K741" s="3"/>
      <c r="L741" s="3"/>
      <c r="M741" s="3"/>
      <c r="Q741" s="3"/>
      <c r="R741" s="3"/>
      <c r="S741" s="3"/>
      <c r="T741" s="3"/>
      <c r="U741" s="3"/>
      <c r="V741" s="3"/>
    </row>
    <row r="742" ht="15.75" customHeight="1">
      <c r="I742" s="3"/>
      <c r="J742" s="3"/>
      <c r="K742" s="3"/>
      <c r="L742" s="3"/>
      <c r="M742" s="3"/>
      <c r="Q742" s="3"/>
      <c r="R742" s="3"/>
      <c r="S742" s="3"/>
      <c r="T742" s="3"/>
      <c r="U742" s="3"/>
      <c r="V742" s="3"/>
    </row>
    <row r="743" ht="15.75" customHeight="1">
      <c r="I743" s="3"/>
      <c r="J743" s="3"/>
      <c r="K743" s="3"/>
      <c r="L743" s="3"/>
      <c r="M743" s="3"/>
      <c r="Q743" s="3"/>
      <c r="R743" s="3"/>
      <c r="S743" s="3"/>
      <c r="T743" s="3"/>
      <c r="U743" s="3"/>
      <c r="V743" s="3"/>
    </row>
    <row r="744" ht="15.75" customHeight="1">
      <c r="I744" s="3"/>
      <c r="J744" s="3"/>
      <c r="K744" s="3"/>
      <c r="L744" s="3"/>
      <c r="M744" s="3"/>
      <c r="Q744" s="3"/>
      <c r="R744" s="3"/>
      <c r="S744" s="3"/>
      <c r="T744" s="3"/>
      <c r="U744" s="3"/>
      <c r="V744" s="3"/>
    </row>
    <row r="745" ht="15.75" customHeight="1">
      <c r="I745" s="3"/>
      <c r="J745" s="3"/>
      <c r="K745" s="3"/>
      <c r="L745" s="3"/>
      <c r="M745" s="3"/>
      <c r="Q745" s="3"/>
      <c r="R745" s="3"/>
      <c r="S745" s="3"/>
      <c r="T745" s="3"/>
      <c r="U745" s="3"/>
      <c r="V745" s="3"/>
    </row>
    <row r="746" ht="15.75" customHeight="1">
      <c r="I746" s="3"/>
      <c r="J746" s="3"/>
      <c r="K746" s="3"/>
      <c r="L746" s="3"/>
      <c r="M746" s="3"/>
      <c r="Q746" s="3"/>
      <c r="R746" s="3"/>
      <c r="S746" s="3"/>
      <c r="T746" s="3"/>
      <c r="U746" s="3"/>
      <c r="V746" s="3"/>
    </row>
    <row r="747" ht="15.75" customHeight="1">
      <c r="I747" s="3"/>
      <c r="J747" s="3"/>
      <c r="K747" s="3"/>
      <c r="L747" s="3"/>
      <c r="M747" s="3"/>
      <c r="Q747" s="3"/>
      <c r="R747" s="3"/>
      <c r="S747" s="3"/>
      <c r="T747" s="3"/>
      <c r="U747" s="3"/>
      <c r="V747" s="3"/>
    </row>
    <row r="748" ht="15.75" customHeight="1">
      <c r="I748" s="3"/>
      <c r="J748" s="3"/>
      <c r="K748" s="3"/>
      <c r="L748" s="3"/>
      <c r="M748" s="3"/>
      <c r="Q748" s="3"/>
      <c r="R748" s="3"/>
      <c r="S748" s="3"/>
      <c r="T748" s="3"/>
      <c r="U748" s="3"/>
      <c r="V748" s="3"/>
    </row>
    <row r="749" ht="15.75" customHeight="1">
      <c r="I749" s="3"/>
      <c r="J749" s="3"/>
      <c r="K749" s="3"/>
      <c r="L749" s="3"/>
      <c r="M749" s="3"/>
      <c r="Q749" s="3"/>
      <c r="R749" s="3"/>
      <c r="S749" s="3"/>
      <c r="T749" s="3"/>
      <c r="U749" s="3"/>
      <c r="V749" s="3"/>
    </row>
    <row r="750" ht="15.75" customHeight="1">
      <c r="I750" s="3"/>
      <c r="J750" s="3"/>
      <c r="K750" s="3"/>
      <c r="L750" s="3"/>
      <c r="M750" s="3"/>
      <c r="Q750" s="3"/>
      <c r="R750" s="3"/>
      <c r="S750" s="3"/>
      <c r="T750" s="3"/>
      <c r="U750" s="3"/>
      <c r="V750" s="3"/>
    </row>
    <row r="751" ht="15.75" customHeight="1">
      <c r="I751" s="3"/>
      <c r="J751" s="3"/>
      <c r="K751" s="3"/>
      <c r="L751" s="3"/>
      <c r="M751" s="3"/>
      <c r="Q751" s="3"/>
      <c r="R751" s="3"/>
      <c r="S751" s="3"/>
      <c r="T751" s="3"/>
      <c r="U751" s="3"/>
      <c r="V751" s="3"/>
    </row>
    <row r="752" ht="15.75" customHeight="1">
      <c r="I752" s="3"/>
      <c r="J752" s="3"/>
      <c r="K752" s="3"/>
      <c r="L752" s="3"/>
      <c r="M752" s="3"/>
      <c r="Q752" s="3"/>
      <c r="R752" s="3"/>
      <c r="S752" s="3"/>
      <c r="T752" s="3"/>
      <c r="U752" s="3"/>
      <c r="V752" s="3"/>
    </row>
    <row r="753" ht="15.75" customHeight="1">
      <c r="I753" s="3"/>
      <c r="J753" s="3"/>
      <c r="K753" s="3"/>
      <c r="L753" s="3"/>
      <c r="M753" s="3"/>
      <c r="Q753" s="3"/>
      <c r="R753" s="3"/>
      <c r="S753" s="3"/>
      <c r="T753" s="3"/>
      <c r="U753" s="3"/>
      <c r="V753" s="3"/>
    </row>
    <row r="754" ht="15.75" customHeight="1">
      <c r="I754" s="3"/>
      <c r="J754" s="3"/>
      <c r="K754" s="3"/>
      <c r="L754" s="3"/>
      <c r="M754" s="3"/>
      <c r="Q754" s="3"/>
      <c r="R754" s="3"/>
      <c r="S754" s="3"/>
      <c r="T754" s="3"/>
      <c r="U754" s="3"/>
      <c r="V754" s="3"/>
    </row>
    <row r="755" ht="15.75" customHeight="1">
      <c r="I755" s="3"/>
      <c r="J755" s="3"/>
      <c r="K755" s="3"/>
      <c r="L755" s="3"/>
      <c r="M755" s="3"/>
      <c r="Q755" s="3"/>
      <c r="R755" s="3"/>
      <c r="S755" s="3"/>
      <c r="T755" s="3"/>
      <c r="U755" s="3"/>
      <c r="V755" s="3"/>
    </row>
    <row r="756" ht="15.75" customHeight="1">
      <c r="I756" s="3"/>
      <c r="J756" s="3"/>
      <c r="K756" s="3"/>
      <c r="L756" s="3"/>
      <c r="M756" s="3"/>
      <c r="Q756" s="3"/>
      <c r="R756" s="3"/>
      <c r="S756" s="3"/>
      <c r="T756" s="3"/>
      <c r="U756" s="3"/>
      <c r="V756" s="3"/>
    </row>
    <row r="757" ht="15.75" customHeight="1">
      <c r="I757" s="3"/>
      <c r="J757" s="3"/>
      <c r="K757" s="3"/>
      <c r="L757" s="3"/>
      <c r="M757" s="3"/>
      <c r="Q757" s="3"/>
      <c r="R757" s="3"/>
      <c r="S757" s="3"/>
      <c r="T757" s="3"/>
      <c r="U757" s="3"/>
      <c r="V757" s="3"/>
    </row>
    <row r="758" ht="15.75" customHeight="1">
      <c r="I758" s="3"/>
      <c r="J758" s="3"/>
      <c r="K758" s="3"/>
      <c r="L758" s="3"/>
      <c r="M758" s="3"/>
      <c r="Q758" s="3"/>
      <c r="R758" s="3"/>
      <c r="S758" s="3"/>
      <c r="T758" s="3"/>
      <c r="U758" s="3"/>
      <c r="V758" s="3"/>
    </row>
    <row r="759" ht="15.75" customHeight="1">
      <c r="I759" s="3"/>
      <c r="J759" s="3"/>
      <c r="K759" s="3"/>
      <c r="L759" s="3"/>
      <c r="M759" s="3"/>
      <c r="Q759" s="3"/>
      <c r="R759" s="3"/>
      <c r="S759" s="3"/>
      <c r="T759" s="3"/>
      <c r="U759" s="3"/>
      <c r="V759" s="3"/>
    </row>
    <row r="760" ht="15.75" customHeight="1">
      <c r="I760" s="3"/>
      <c r="J760" s="3"/>
      <c r="K760" s="3"/>
      <c r="L760" s="3"/>
      <c r="M760" s="3"/>
      <c r="Q760" s="3"/>
      <c r="R760" s="3"/>
      <c r="S760" s="3"/>
      <c r="T760" s="3"/>
      <c r="U760" s="3"/>
      <c r="V760" s="3"/>
    </row>
    <row r="761" ht="15.75" customHeight="1">
      <c r="I761" s="3"/>
      <c r="J761" s="3"/>
      <c r="K761" s="3"/>
      <c r="L761" s="3"/>
      <c r="M761" s="3"/>
      <c r="Q761" s="3"/>
      <c r="R761" s="3"/>
      <c r="S761" s="3"/>
      <c r="T761" s="3"/>
      <c r="U761" s="3"/>
      <c r="V761" s="3"/>
    </row>
    <row r="762" ht="15.75" customHeight="1">
      <c r="I762" s="3"/>
      <c r="J762" s="3"/>
      <c r="K762" s="3"/>
      <c r="L762" s="3"/>
      <c r="M762" s="3"/>
      <c r="Q762" s="3"/>
      <c r="R762" s="3"/>
      <c r="S762" s="3"/>
      <c r="T762" s="3"/>
      <c r="U762" s="3"/>
      <c r="V762" s="3"/>
    </row>
    <row r="763" ht="15.75" customHeight="1">
      <c r="I763" s="3"/>
      <c r="J763" s="3"/>
      <c r="K763" s="3"/>
      <c r="L763" s="3"/>
      <c r="M763" s="3"/>
      <c r="Q763" s="3"/>
      <c r="R763" s="3"/>
      <c r="S763" s="3"/>
      <c r="T763" s="3"/>
      <c r="U763" s="3"/>
      <c r="V763" s="3"/>
    </row>
    <row r="764" ht="15.75" customHeight="1">
      <c r="I764" s="3"/>
      <c r="J764" s="3"/>
      <c r="K764" s="3"/>
      <c r="L764" s="3"/>
      <c r="M764" s="3"/>
      <c r="Q764" s="3"/>
      <c r="R764" s="3"/>
      <c r="S764" s="3"/>
      <c r="T764" s="3"/>
      <c r="U764" s="3"/>
      <c r="V764" s="3"/>
    </row>
    <row r="765" ht="15.75" customHeight="1">
      <c r="I765" s="3"/>
      <c r="J765" s="3"/>
      <c r="K765" s="3"/>
      <c r="L765" s="3"/>
      <c r="M765" s="3"/>
      <c r="Q765" s="3"/>
      <c r="R765" s="3"/>
      <c r="S765" s="3"/>
      <c r="T765" s="3"/>
      <c r="U765" s="3"/>
      <c r="V765" s="3"/>
    </row>
    <row r="766" ht="15.75" customHeight="1">
      <c r="I766" s="3"/>
      <c r="J766" s="3"/>
      <c r="K766" s="3"/>
      <c r="L766" s="3"/>
      <c r="M766" s="3"/>
      <c r="Q766" s="3"/>
      <c r="R766" s="3"/>
      <c r="S766" s="3"/>
      <c r="T766" s="3"/>
      <c r="U766" s="3"/>
      <c r="V766" s="3"/>
    </row>
    <row r="767" ht="15.75" customHeight="1">
      <c r="I767" s="3"/>
      <c r="J767" s="3"/>
      <c r="K767" s="3"/>
      <c r="L767" s="3"/>
      <c r="M767" s="3"/>
      <c r="Q767" s="3"/>
      <c r="R767" s="3"/>
      <c r="S767" s="3"/>
      <c r="T767" s="3"/>
      <c r="U767" s="3"/>
      <c r="V767" s="3"/>
    </row>
    <row r="768" ht="15.75" customHeight="1">
      <c r="I768" s="3"/>
      <c r="J768" s="3"/>
      <c r="K768" s="3"/>
      <c r="L768" s="3"/>
      <c r="M768" s="3"/>
      <c r="Q768" s="3"/>
      <c r="R768" s="3"/>
      <c r="S768" s="3"/>
      <c r="T768" s="3"/>
      <c r="U768" s="3"/>
      <c r="V768" s="3"/>
    </row>
    <row r="769" ht="15.75" customHeight="1">
      <c r="I769" s="3"/>
      <c r="J769" s="3"/>
      <c r="K769" s="3"/>
      <c r="L769" s="3"/>
      <c r="M769" s="3"/>
      <c r="Q769" s="3"/>
      <c r="R769" s="3"/>
      <c r="S769" s="3"/>
      <c r="T769" s="3"/>
      <c r="U769" s="3"/>
      <c r="V769" s="3"/>
    </row>
    <row r="770" ht="15.75" customHeight="1">
      <c r="I770" s="3"/>
      <c r="J770" s="3"/>
      <c r="K770" s="3"/>
      <c r="L770" s="3"/>
      <c r="M770" s="3"/>
      <c r="Q770" s="3"/>
      <c r="R770" s="3"/>
      <c r="S770" s="3"/>
      <c r="T770" s="3"/>
      <c r="U770" s="3"/>
      <c r="V770" s="3"/>
    </row>
    <row r="771" ht="15.75" customHeight="1">
      <c r="I771" s="3"/>
      <c r="J771" s="3"/>
      <c r="K771" s="3"/>
      <c r="L771" s="3"/>
      <c r="M771" s="3"/>
      <c r="Q771" s="3"/>
      <c r="R771" s="3"/>
      <c r="S771" s="3"/>
      <c r="T771" s="3"/>
      <c r="U771" s="3"/>
      <c r="V771" s="3"/>
    </row>
    <row r="772" ht="15.75" customHeight="1">
      <c r="I772" s="3"/>
      <c r="J772" s="3"/>
      <c r="K772" s="3"/>
      <c r="L772" s="3"/>
      <c r="M772" s="3"/>
      <c r="Q772" s="3"/>
      <c r="R772" s="3"/>
      <c r="S772" s="3"/>
      <c r="T772" s="3"/>
      <c r="U772" s="3"/>
      <c r="V772" s="3"/>
    </row>
    <row r="773" ht="15.75" customHeight="1">
      <c r="I773" s="3"/>
      <c r="J773" s="3"/>
      <c r="K773" s="3"/>
      <c r="L773" s="3"/>
      <c r="M773" s="3"/>
      <c r="Q773" s="3"/>
      <c r="R773" s="3"/>
      <c r="S773" s="3"/>
      <c r="T773" s="3"/>
      <c r="U773" s="3"/>
      <c r="V773" s="3"/>
    </row>
    <row r="774" ht="15.75" customHeight="1">
      <c r="I774" s="3"/>
      <c r="J774" s="3"/>
      <c r="K774" s="3"/>
      <c r="L774" s="3"/>
      <c r="M774" s="3"/>
      <c r="Q774" s="3"/>
      <c r="R774" s="3"/>
      <c r="S774" s="3"/>
      <c r="T774" s="3"/>
      <c r="U774" s="3"/>
      <c r="V774" s="3"/>
    </row>
    <row r="775" ht="15.75" customHeight="1">
      <c r="I775" s="3"/>
      <c r="J775" s="3"/>
      <c r="K775" s="3"/>
      <c r="L775" s="3"/>
      <c r="M775" s="3"/>
      <c r="Q775" s="3"/>
      <c r="R775" s="3"/>
      <c r="S775" s="3"/>
      <c r="T775" s="3"/>
      <c r="U775" s="3"/>
      <c r="V775" s="3"/>
    </row>
    <row r="776" ht="15.75" customHeight="1">
      <c r="I776" s="3"/>
      <c r="J776" s="3"/>
      <c r="K776" s="3"/>
      <c r="L776" s="3"/>
      <c r="M776" s="3"/>
      <c r="Q776" s="3"/>
      <c r="R776" s="3"/>
      <c r="S776" s="3"/>
      <c r="T776" s="3"/>
      <c r="U776" s="3"/>
      <c r="V776" s="3"/>
    </row>
    <row r="777" ht="15.75" customHeight="1">
      <c r="I777" s="3"/>
      <c r="J777" s="3"/>
      <c r="K777" s="3"/>
      <c r="L777" s="3"/>
      <c r="M777" s="3"/>
      <c r="Q777" s="3"/>
      <c r="R777" s="3"/>
      <c r="S777" s="3"/>
      <c r="T777" s="3"/>
      <c r="U777" s="3"/>
      <c r="V777" s="3"/>
    </row>
    <row r="778" ht="15.75" customHeight="1">
      <c r="I778" s="3"/>
      <c r="J778" s="3"/>
      <c r="K778" s="3"/>
      <c r="L778" s="3"/>
      <c r="M778" s="3"/>
      <c r="Q778" s="3"/>
      <c r="R778" s="3"/>
      <c r="S778" s="3"/>
      <c r="T778" s="3"/>
      <c r="U778" s="3"/>
      <c r="V778" s="3"/>
    </row>
    <row r="779" ht="15.75" customHeight="1">
      <c r="I779" s="3"/>
      <c r="J779" s="3"/>
      <c r="K779" s="3"/>
      <c r="L779" s="3"/>
      <c r="M779" s="3"/>
      <c r="Q779" s="3"/>
      <c r="R779" s="3"/>
      <c r="S779" s="3"/>
      <c r="T779" s="3"/>
      <c r="U779" s="3"/>
      <c r="V779" s="3"/>
    </row>
    <row r="780" ht="15.75" customHeight="1">
      <c r="I780" s="3"/>
      <c r="J780" s="3"/>
      <c r="K780" s="3"/>
      <c r="L780" s="3"/>
      <c r="M780" s="3"/>
      <c r="Q780" s="3"/>
      <c r="R780" s="3"/>
      <c r="S780" s="3"/>
      <c r="T780" s="3"/>
      <c r="U780" s="3"/>
      <c r="V780" s="3"/>
    </row>
    <row r="781" ht="15.75" customHeight="1">
      <c r="I781" s="3"/>
      <c r="J781" s="3"/>
      <c r="K781" s="3"/>
      <c r="L781" s="3"/>
      <c r="M781" s="3"/>
      <c r="Q781" s="3"/>
      <c r="R781" s="3"/>
      <c r="S781" s="3"/>
      <c r="T781" s="3"/>
      <c r="U781" s="3"/>
      <c r="V781" s="3"/>
    </row>
    <row r="782" ht="15.75" customHeight="1">
      <c r="I782" s="3"/>
      <c r="J782" s="3"/>
      <c r="K782" s="3"/>
      <c r="L782" s="3"/>
      <c r="M782" s="3"/>
      <c r="Q782" s="3"/>
      <c r="R782" s="3"/>
      <c r="S782" s="3"/>
      <c r="T782" s="3"/>
      <c r="U782" s="3"/>
      <c r="V782" s="3"/>
    </row>
    <row r="783" ht="15.75" customHeight="1">
      <c r="I783" s="3"/>
      <c r="J783" s="3"/>
      <c r="K783" s="3"/>
      <c r="L783" s="3"/>
      <c r="M783" s="3"/>
      <c r="Q783" s="3"/>
      <c r="R783" s="3"/>
      <c r="S783" s="3"/>
      <c r="T783" s="3"/>
      <c r="U783" s="3"/>
      <c r="V783" s="3"/>
    </row>
    <row r="784" ht="15.75" customHeight="1">
      <c r="I784" s="3"/>
      <c r="J784" s="3"/>
      <c r="K784" s="3"/>
      <c r="L784" s="3"/>
      <c r="M784" s="3"/>
      <c r="Q784" s="3"/>
      <c r="R784" s="3"/>
      <c r="S784" s="3"/>
      <c r="T784" s="3"/>
      <c r="U784" s="3"/>
      <c r="V784" s="3"/>
    </row>
    <row r="785" ht="15.75" customHeight="1">
      <c r="I785" s="3"/>
      <c r="J785" s="3"/>
      <c r="K785" s="3"/>
      <c r="L785" s="3"/>
      <c r="M785" s="3"/>
      <c r="Q785" s="3"/>
      <c r="R785" s="3"/>
      <c r="S785" s="3"/>
      <c r="T785" s="3"/>
      <c r="U785" s="3"/>
      <c r="V785" s="3"/>
    </row>
    <row r="786" ht="15.75" customHeight="1">
      <c r="I786" s="3"/>
      <c r="J786" s="3"/>
      <c r="K786" s="3"/>
      <c r="L786" s="3"/>
      <c r="M786" s="3"/>
      <c r="Q786" s="3"/>
      <c r="R786" s="3"/>
      <c r="S786" s="3"/>
      <c r="T786" s="3"/>
      <c r="U786" s="3"/>
      <c r="V786" s="3"/>
    </row>
    <row r="787" ht="15.75" customHeight="1">
      <c r="I787" s="3"/>
      <c r="J787" s="3"/>
      <c r="K787" s="3"/>
      <c r="L787" s="3"/>
      <c r="M787" s="3"/>
      <c r="Q787" s="3"/>
      <c r="R787" s="3"/>
      <c r="S787" s="3"/>
      <c r="T787" s="3"/>
      <c r="U787" s="3"/>
      <c r="V787" s="3"/>
    </row>
    <row r="788" ht="15.75" customHeight="1">
      <c r="I788" s="3"/>
      <c r="J788" s="3"/>
      <c r="K788" s="3"/>
      <c r="L788" s="3"/>
      <c r="M788" s="3"/>
      <c r="Q788" s="3"/>
      <c r="R788" s="3"/>
      <c r="S788" s="3"/>
      <c r="T788" s="3"/>
      <c r="U788" s="3"/>
      <c r="V788" s="3"/>
    </row>
    <row r="789" ht="15.75" customHeight="1">
      <c r="I789" s="3"/>
      <c r="J789" s="3"/>
      <c r="K789" s="3"/>
      <c r="L789" s="3"/>
      <c r="M789" s="3"/>
      <c r="Q789" s="3"/>
      <c r="R789" s="3"/>
      <c r="S789" s="3"/>
      <c r="T789" s="3"/>
      <c r="U789" s="3"/>
      <c r="V789" s="3"/>
    </row>
    <row r="790" ht="15.75" customHeight="1">
      <c r="I790" s="3"/>
      <c r="J790" s="3"/>
      <c r="K790" s="3"/>
      <c r="L790" s="3"/>
      <c r="M790" s="3"/>
      <c r="Q790" s="3"/>
      <c r="R790" s="3"/>
      <c r="S790" s="3"/>
      <c r="T790" s="3"/>
      <c r="U790" s="3"/>
      <c r="V790" s="3"/>
    </row>
    <row r="791" ht="15.75" customHeight="1">
      <c r="I791" s="3"/>
      <c r="J791" s="3"/>
      <c r="K791" s="3"/>
      <c r="L791" s="3"/>
      <c r="M791" s="3"/>
      <c r="Q791" s="3"/>
      <c r="R791" s="3"/>
      <c r="S791" s="3"/>
      <c r="T791" s="3"/>
      <c r="U791" s="3"/>
      <c r="V791" s="3"/>
    </row>
    <row r="792" ht="15.75" customHeight="1">
      <c r="I792" s="3"/>
      <c r="J792" s="3"/>
      <c r="K792" s="3"/>
      <c r="L792" s="3"/>
      <c r="M792" s="3"/>
      <c r="Q792" s="3"/>
      <c r="R792" s="3"/>
      <c r="S792" s="3"/>
      <c r="T792" s="3"/>
      <c r="U792" s="3"/>
      <c r="V792" s="3"/>
    </row>
    <row r="793" ht="15.75" customHeight="1">
      <c r="I793" s="3"/>
      <c r="J793" s="3"/>
      <c r="K793" s="3"/>
      <c r="L793" s="3"/>
      <c r="M793" s="3"/>
      <c r="Q793" s="3"/>
      <c r="R793" s="3"/>
      <c r="S793" s="3"/>
      <c r="T793" s="3"/>
      <c r="U793" s="3"/>
      <c r="V793" s="3"/>
    </row>
    <row r="794" ht="15.75" customHeight="1">
      <c r="I794" s="3"/>
      <c r="J794" s="3"/>
      <c r="K794" s="3"/>
      <c r="L794" s="3"/>
      <c r="M794" s="3"/>
      <c r="Q794" s="3"/>
      <c r="R794" s="3"/>
      <c r="S794" s="3"/>
      <c r="T794" s="3"/>
      <c r="U794" s="3"/>
      <c r="V794" s="3"/>
    </row>
    <row r="795" ht="15.75" customHeight="1">
      <c r="I795" s="3"/>
      <c r="J795" s="3"/>
      <c r="K795" s="3"/>
      <c r="L795" s="3"/>
      <c r="M795" s="3"/>
      <c r="Q795" s="3"/>
      <c r="R795" s="3"/>
      <c r="S795" s="3"/>
      <c r="T795" s="3"/>
      <c r="U795" s="3"/>
      <c r="V795" s="3"/>
    </row>
    <row r="796" ht="15.75" customHeight="1">
      <c r="I796" s="3"/>
      <c r="J796" s="3"/>
      <c r="K796" s="3"/>
      <c r="L796" s="3"/>
      <c r="M796" s="3"/>
      <c r="Q796" s="3"/>
      <c r="R796" s="3"/>
      <c r="S796" s="3"/>
      <c r="T796" s="3"/>
      <c r="U796" s="3"/>
      <c r="V796" s="3"/>
    </row>
    <row r="797" ht="15.75" customHeight="1">
      <c r="I797" s="3"/>
      <c r="J797" s="3"/>
      <c r="K797" s="3"/>
      <c r="L797" s="3"/>
      <c r="M797" s="3"/>
      <c r="Q797" s="3"/>
      <c r="R797" s="3"/>
      <c r="S797" s="3"/>
      <c r="T797" s="3"/>
      <c r="U797" s="3"/>
      <c r="V797" s="3"/>
    </row>
    <row r="798" ht="15.75" customHeight="1">
      <c r="I798" s="3"/>
      <c r="J798" s="3"/>
      <c r="K798" s="3"/>
      <c r="L798" s="3"/>
      <c r="M798" s="3"/>
      <c r="Q798" s="3"/>
      <c r="R798" s="3"/>
      <c r="S798" s="3"/>
      <c r="T798" s="3"/>
      <c r="U798" s="3"/>
      <c r="V798" s="3"/>
    </row>
    <row r="799" ht="15.75" customHeight="1">
      <c r="I799" s="3"/>
      <c r="J799" s="3"/>
      <c r="K799" s="3"/>
      <c r="L799" s="3"/>
      <c r="M799" s="3"/>
      <c r="Q799" s="3"/>
      <c r="R799" s="3"/>
      <c r="S799" s="3"/>
      <c r="T799" s="3"/>
      <c r="U799" s="3"/>
      <c r="V799" s="3"/>
    </row>
    <row r="800" ht="15.75" customHeight="1">
      <c r="I800" s="3"/>
      <c r="J800" s="3"/>
      <c r="K800" s="3"/>
      <c r="L800" s="3"/>
      <c r="M800" s="3"/>
      <c r="Q800" s="3"/>
      <c r="R800" s="3"/>
      <c r="S800" s="3"/>
      <c r="T800" s="3"/>
      <c r="U800" s="3"/>
      <c r="V800" s="3"/>
    </row>
    <row r="801" ht="15.75" customHeight="1">
      <c r="I801" s="3"/>
      <c r="J801" s="3"/>
      <c r="K801" s="3"/>
      <c r="L801" s="3"/>
      <c r="M801" s="3"/>
      <c r="Q801" s="3"/>
      <c r="R801" s="3"/>
      <c r="S801" s="3"/>
      <c r="T801" s="3"/>
      <c r="U801" s="3"/>
      <c r="V801" s="3"/>
    </row>
    <row r="802" ht="15.75" customHeight="1">
      <c r="I802" s="3"/>
      <c r="J802" s="3"/>
      <c r="K802" s="3"/>
      <c r="L802" s="3"/>
      <c r="M802" s="3"/>
      <c r="Q802" s="3"/>
      <c r="R802" s="3"/>
      <c r="S802" s="3"/>
      <c r="T802" s="3"/>
      <c r="U802" s="3"/>
      <c r="V802" s="3"/>
    </row>
    <row r="803" ht="15.75" customHeight="1">
      <c r="I803" s="3"/>
      <c r="J803" s="3"/>
      <c r="K803" s="3"/>
      <c r="L803" s="3"/>
      <c r="M803" s="3"/>
      <c r="Q803" s="3"/>
      <c r="R803" s="3"/>
      <c r="S803" s="3"/>
      <c r="T803" s="3"/>
      <c r="U803" s="3"/>
      <c r="V803" s="3"/>
    </row>
    <row r="804" ht="15.75" customHeight="1">
      <c r="I804" s="3"/>
      <c r="J804" s="3"/>
      <c r="K804" s="3"/>
      <c r="L804" s="3"/>
      <c r="M804" s="3"/>
      <c r="Q804" s="3"/>
      <c r="R804" s="3"/>
      <c r="S804" s="3"/>
      <c r="T804" s="3"/>
      <c r="U804" s="3"/>
      <c r="V804" s="3"/>
    </row>
    <row r="805" ht="15.75" customHeight="1">
      <c r="I805" s="3"/>
      <c r="J805" s="3"/>
      <c r="K805" s="3"/>
      <c r="L805" s="3"/>
      <c r="M805" s="3"/>
      <c r="Q805" s="3"/>
      <c r="R805" s="3"/>
      <c r="S805" s="3"/>
      <c r="T805" s="3"/>
      <c r="U805" s="3"/>
      <c r="V805" s="3"/>
    </row>
    <row r="806" ht="15.75" customHeight="1">
      <c r="I806" s="3"/>
      <c r="J806" s="3"/>
      <c r="K806" s="3"/>
      <c r="L806" s="3"/>
      <c r="M806" s="3"/>
      <c r="Q806" s="3"/>
      <c r="R806" s="3"/>
      <c r="S806" s="3"/>
      <c r="T806" s="3"/>
      <c r="U806" s="3"/>
      <c r="V806" s="3"/>
    </row>
    <row r="807" ht="15.75" customHeight="1">
      <c r="I807" s="3"/>
      <c r="J807" s="3"/>
      <c r="K807" s="3"/>
      <c r="L807" s="3"/>
      <c r="M807" s="3"/>
      <c r="Q807" s="3"/>
      <c r="R807" s="3"/>
      <c r="S807" s="3"/>
      <c r="T807" s="3"/>
      <c r="U807" s="3"/>
      <c r="V807" s="3"/>
    </row>
    <row r="808" ht="15.75" customHeight="1">
      <c r="I808" s="3"/>
      <c r="J808" s="3"/>
      <c r="K808" s="3"/>
      <c r="L808" s="3"/>
      <c r="M808" s="3"/>
      <c r="Q808" s="3"/>
      <c r="R808" s="3"/>
      <c r="S808" s="3"/>
      <c r="T808" s="3"/>
      <c r="U808" s="3"/>
      <c r="V808" s="3"/>
    </row>
    <row r="809" ht="15.75" customHeight="1">
      <c r="I809" s="3"/>
      <c r="J809" s="3"/>
      <c r="K809" s="3"/>
      <c r="L809" s="3"/>
      <c r="M809" s="3"/>
      <c r="Q809" s="3"/>
      <c r="R809" s="3"/>
      <c r="S809" s="3"/>
      <c r="T809" s="3"/>
      <c r="U809" s="3"/>
      <c r="V809" s="3"/>
    </row>
    <row r="810" ht="15.75" customHeight="1">
      <c r="I810" s="3"/>
      <c r="J810" s="3"/>
      <c r="K810" s="3"/>
      <c r="L810" s="3"/>
      <c r="M810" s="3"/>
      <c r="Q810" s="3"/>
      <c r="R810" s="3"/>
      <c r="S810" s="3"/>
      <c r="T810" s="3"/>
      <c r="U810" s="3"/>
      <c r="V810" s="3"/>
    </row>
    <row r="811" ht="15.75" customHeight="1">
      <c r="I811" s="3"/>
      <c r="J811" s="3"/>
      <c r="K811" s="3"/>
      <c r="L811" s="3"/>
      <c r="M811" s="3"/>
      <c r="Q811" s="3"/>
      <c r="R811" s="3"/>
      <c r="S811" s="3"/>
      <c r="T811" s="3"/>
      <c r="U811" s="3"/>
      <c r="V811" s="3"/>
    </row>
    <row r="812" ht="15.75" customHeight="1">
      <c r="I812" s="3"/>
      <c r="J812" s="3"/>
      <c r="K812" s="3"/>
      <c r="L812" s="3"/>
      <c r="M812" s="3"/>
      <c r="Q812" s="3"/>
      <c r="R812" s="3"/>
      <c r="S812" s="3"/>
      <c r="T812" s="3"/>
      <c r="U812" s="3"/>
      <c r="V812" s="3"/>
    </row>
    <row r="813" ht="15.75" customHeight="1">
      <c r="I813" s="3"/>
      <c r="J813" s="3"/>
      <c r="K813" s="3"/>
      <c r="L813" s="3"/>
      <c r="M813" s="3"/>
      <c r="Q813" s="3"/>
      <c r="R813" s="3"/>
      <c r="S813" s="3"/>
      <c r="T813" s="3"/>
      <c r="U813" s="3"/>
      <c r="V813" s="3"/>
    </row>
    <row r="814" ht="15.75" customHeight="1">
      <c r="I814" s="3"/>
      <c r="J814" s="3"/>
      <c r="K814" s="3"/>
      <c r="L814" s="3"/>
      <c r="M814" s="3"/>
      <c r="Q814" s="3"/>
      <c r="R814" s="3"/>
      <c r="S814" s="3"/>
      <c r="T814" s="3"/>
      <c r="U814" s="3"/>
      <c r="V814" s="3"/>
    </row>
    <row r="815" ht="15.75" customHeight="1">
      <c r="I815" s="3"/>
      <c r="J815" s="3"/>
      <c r="K815" s="3"/>
      <c r="L815" s="3"/>
      <c r="M815" s="3"/>
      <c r="Q815" s="3"/>
      <c r="R815" s="3"/>
      <c r="S815" s="3"/>
      <c r="T815" s="3"/>
      <c r="U815" s="3"/>
      <c r="V815" s="3"/>
    </row>
    <row r="816" ht="15.75" customHeight="1">
      <c r="I816" s="3"/>
      <c r="J816" s="3"/>
      <c r="K816" s="3"/>
      <c r="L816" s="3"/>
      <c r="M816" s="3"/>
      <c r="Q816" s="3"/>
      <c r="R816" s="3"/>
      <c r="S816" s="3"/>
      <c r="T816" s="3"/>
      <c r="U816" s="3"/>
      <c r="V816" s="3"/>
    </row>
    <row r="817" ht="15.75" customHeight="1">
      <c r="I817" s="3"/>
      <c r="J817" s="3"/>
      <c r="K817" s="3"/>
      <c r="L817" s="3"/>
      <c r="M817" s="3"/>
      <c r="Q817" s="3"/>
      <c r="R817" s="3"/>
      <c r="S817" s="3"/>
      <c r="T817" s="3"/>
      <c r="U817" s="3"/>
      <c r="V817" s="3"/>
    </row>
    <row r="818" ht="15.75" customHeight="1">
      <c r="I818" s="3"/>
      <c r="J818" s="3"/>
      <c r="K818" s="3"/>
      <c r="L818" s="3"/>
      <c r="M818" s="3"/>
      <c r="Q818" s="3"/>
      <c r="R818" s="3"/>
      <c r="S818" s="3"/>
      <c r="T818" s="3"/>
      <c r="U818" s="3"/>
      <c r="V818" s="3"/>
    </row>
    <row r="819" ht="15.75" customHeight="1">
      <c r="I819" s="3"/>
      <c r="J819" s="3"/>
      <c r="K819" s="3"/>
      <c r="L819" s="3"/>
      <c r="M819" s="3"/>
      <c r="Q819" s="3"/>
      <c r="R819" s="3"/>
      <c r="S819" s="3"/>
      <c r="T819" s="3"/>
      <c r="U819" s="3"/>
      <c r="V819" s="3"/>
    </row>
    <row r="820" ht="15.75" customHeight="1">
      <c r="I820" s="3"/>
      <c r="J820" s="3"/>
      <c r="K820" s="3"/>
      <c r="L820" s="3"/>
      <c r="M820" s="3"/>
      <c r="Q820" s="3"/>
      <c r="R820" s="3"/>
      <c r="S820" s="3"/>
      <c r="T820" s="3"/>
      <c r="U820" s="3"/>
      <c r="V820" s="3"/>
    </row>
    <row r="821" ht="15.75" customHeight="1">
      <c r="I821" s="3"/>
      <c r="J821" s="3"/>
      <c r="K821" s="3"/>
      <c r="L821" s="3"/>
      <c r="M821" s="3"/>
      <c r="Q821" s="3"/>
      <c r="R821" s="3"/>
      <c r="S821" s="3"/>
      <c r="T821" s="3"/>
      <c r="U821" s="3"/>
      <c r="V821" s="3"/>
    </row>
    <row r="822" ht="15.75" customHeight="1">
      <c r="I822" s="3"/>
      <c r="J822" s="3"/>
      <c r="K822" s="3"/>
      <c r="L822" s="3"/>
      <c r="M822" s="3"/>
      <c r="Q822" s="3"/>
      <c r="R822" s="3"/>
      <c r="S822" s="3"/>
      <c r="T822" s="3"/>
      <c r="U822" s="3"/>
      <c r="V822" s="3"/>
    </row>
    <row r="823" ht="15.75" customHeight="1">
      <c r="I823" s="3"/>
      <c r="J823" s="3"/>
      <c r="K823" s="3"/>
      <c r="L823" s="3"/>
      <c r="M823" s="3"/>
      <c r="Q823" s="3"/>
      <c r="R823" s="3"/>
      <c r="S823" s="3"/>
      <c r="T823" s="3"/>
      <c r="U823" s="3"/>
      <c r="V823" s="3"/>
    </row>
    <row r="824" ht="15.75" customHeight="1">
      <c r="I824" s="3"/>
      <c r="J824" s="3"/>
      <c r="K824" s="3"/>
      <c r="L824" s="3"/>
      <c r="M824" s="3"/>
      <c r="Q824" s="3"/>
      <c r="R824" s="3"/>
      <c r="S824" s="3"/>
      <c r="T824" s="3"/>
      <c r="U824" s="3"/>
      <c r="V824" s="3"/>
    </row>
    <row r="825" ht="15.75" customHeight="1">
      <c r="I825" s="3"/>
      <c r="J825" s="3"/>
      <c r="K825" s="3"/>
      <c r="L825" s="3"/>
      <c r="M825" s="3"/>
      <c r="Q825" s="3"/>
      <c r="R825" s="3"/>
      <c r="S825" s="3"/>
      <c r="T825" s="3"/>
      <c r="U825" s="3"/>
      <c r="V825" s="3"/>
    </row>
    <row r="826" ht="15.75" customHeight="1">
      <c r="I826" s="3"/>
      <c r="J826" s="3"/>
      <c r="K826" s="3"/>
      <c r="L826" s="3"/>
      <c r="M826" s="3"/>
      <c r="Q826" s="3"/>
      <c r="R826" s="3"/>
      <c r="S826" s="3"/>
      <c r="T826" s="3"/>
      <c r="U826" s="3"/>
      <c r="V826" s="3"/>
    </row>
    <row r="827" ht="15.75" customHeight="1">
      <c r="I827" s="3"/>
      <c r="J827" s="3"/>
      <c r="K827" s="3"/>
      <c r="L827" s="3"/>
      <c r="M827" s="3"/>
      <c r="Q827" s="3"/>
      <c r="R827" s="3"/>
      <c r="S827" s="3"/>
      <c r="T827" s="3"/>
      <c r="U827" s="3"/>
      <c r="V827" s="3"/>
    </row>
    <row r="828" ht="15.75" customHeight="1">
      <c r="I828" s="3"/>
      <c r="J828" s="3"/>
      <c r="K828" s="3"/>
      <c r="L828" s="3"/>
      <c r="M828" s="3"/>
      <c r="Q828" s="3"/>
      <c r="R828" s="3"/>
      <c r="S828" s="3"/>
      <c r="T828" s="3"/>
      <c r="U828" s="3"/>
      <c r="V828" s="3"/>
    </row>
    <row r="829" ht="15.75" customHeight="1">
      <c r="I829" s="3"/>
      <c r="J829" s="3"/>
      <c r="K829" s="3"/>
      <c r="L829" s="3"/>
      <c r="M829" s="3"/>
      <c r="Q829" s="3"/>
      <c r="R829" s="3"/>
      <c r="S829" s="3"/>
      <c r="T829" s="3"/>
      <c r="U829" s="3"/>
      <c r="V829" s="3"/>
    </row>
    <row r="830" ht="15.75" customHeight="1">
      <c r="I830" s="3"/>
      <c r="J830" s="3"/>
      <c r="K830" s="3"/>
      <c r="L830" s="3"/>
      <c r="M830" s="3"/>
      <c r="Q830" s="3"/>
      <c r="R830" s="3"/>
      <c r="S830" s="3"/>
      <c r="T830" s="3"/>
      <c r="U830" s="3"/>
      <c r="V830" s="3"/>
    </row>
    <row r="831" ht="15.75" customHeight="1">
      <c r="I831" s="3"/>
      <c r="J831" s="3"/>
      <c r="K831" s="3"/>
      <c r="L831" s="3"/>
      <c r="M831" s="3"/>
      <c r="Q831" s="3"/>
      <c r="R831" s="3"/>
      <c r="S831" s="3"/>
      <c r="T831" s="3"/>
      <c r="U831" s="3"/>
      <c r="V831" s="3"/>
    </row>
    <row r="832" ht="15.75" customHeight="1">
      <c r="I832" s="3"/>
      <c r="J832" s="3"/>
      <c r="K832" s="3"/>
      <c r="L832" s="3"/>
      <c r="M832" s="3"/>
      <c r="Q832" s="3"/>
      <c r="R832" s="3"/>
      <c r="S832" s="3"/>
      <c r="T832" s="3"/>
      <c r="U832" s="3"/>
      <c r="V832" s="3"/>
    </row>
    <row r="833" ht="15.75" customHeight="1">
      <c r="I833" s="3"/>
      <c r="J833" s="3"/>
      <c r="K833" s="3"/>
      <c r="L833" s="3"/>
      <c r="M833" s="3"/>
      <c r="Q833" s="3"/>
      <c r="R833" s="3"/>
      <c r="S833" s="3"/>
      <c r="T833" s="3"/>
      <c r="U833" s="3"/>
      <c r="V833" s="3"/>
    </row>
    <row r="834" ht="15.75" customHeight="1">
      <c r="I834" s="3"/>
      <c r="J834" s="3"/>
      <c r="K834" s="3"/>
      <c r="L834" s="3"/>
      <c r="M834" s="3"/>
      <c r="Q834" s="3"/>
      <c r="R834" s="3"/>
      <c r="S834" s="3"/>
      <c r="T834" s="3"/>
      <c r="U834" s="3"/>
      <c r="V834" s="3"/>
    </row>
    <row r="835" ht="15.75" customHeight="1">
      <c r="I835" s="3"/>
      <c r="J835" s="3"/>
      <c r="K835" s="3"/>
      <c r="L835" s="3"/>
      <c r="M835" s="3"/>
      <c r="Q835" s="3"/>
      <c r="R835" s="3"/>
      <c r="S835" s="3"/>
      <c r="T835" s="3"/>
      <c r="U835" s="3"/>
      <c r="V835" s="3"/>
    </row>
    <row r="836" ht="15.75" customHeight="1">
      <c r="I836" s="3"/>
      <c r="J836" s="3"/>
      <c r="K836" s="3"/>
      <c r="L836" s="3"/>
      <c r="M836" s="3"/>
      <c r="Q836" s="3"/>
      <c r="R836" s="3"/>
      <c r="S836" s="3"/>
      <c r="T836" s="3"/>
      <c r="U836" s="3"/>
      <c r="V836" s="3"/>
    </row>
    <row r="837" ht="15.75" customHeight="1">
      <c r="I837" s="3"/>
      <c r="J837" s="3"/>
      <c r="K837" s="3"/>
      <c r="L837" s="3"/>
      <c r="M837" s="3"/>
      <c r="Q837" s="3"/>
      <c r="R837" s="3"/>
      <c r="S837" s="3"/>
      <c r="T837" s="3"/>
      <c r="U837" s="3"/>
      <c r="V837" s="3"/>
    </row>
    <row r="838" ht="15.75" customHeight="1">
      <c r="I838" s="3"/>
      <c r="J838" s="3"/>
      <c r="K838" s="3"/>
      <c r="L838" s="3"/>
      <c r="M838" s="3"/>
      <c r="Q838" s="3"/>
      <c r="R838" s="3"/>
      <c r="S838" s="3"/>
      <c r="T838" s="3"/>
      <c r="U838" s="3"/>
      <c r="V838" s="3"/>
    </row>
    <row r="839" ht="15.75" customHeight="1">
      <c r="I839" s="3"/>
      <c r="J839" s="3"/>
      <c r="K839" s="3"/>
      <c r="L839" s="3"/>
      <c r="M839" s="3"/>
      <c r="Q839" s="3"/>
      <c r="R839" s="3"/>
      <c r="S839" s="3"/>
      <c r="T839" s="3"/>
      <c r="U839" s="3"/>
      <c r="V839" s="3"/>
    </row>
    <row r="840" ht="15.75" customHeight="1">
      <c r="I840" s="3"/>
      <c r="J840" s="3"/>
      <c r="K840" s="3"/>
      <c r="L840" s="3"/>
      <c r="M840" s="3"/>
      <c r="Q840" s="3"/>
      <c r="R840" s="3"/>
      <c r="S840" s="3"/>
      <c r="T840" s="3"/>
      <c r="U840" s="3"/>
      <c r="V840" s="3"/>
    </row>
    <row r="841" ht="15.75" customHeight="1">
      <c r="I841" s="3"/>
      <c r="J841" s="3"/>
      <c r="K841" s="3"/>
      <c r="L841" s="3"/>
      <c r="M841" s="3"/>
      <c r="Q841" s="3"/>
      <c r="R841" s="3"/>
      <c r="S841" s="3"/>
      <c r="T841" s="3"/>
      <c r="U841" s="3"/>
      <c r="V841" s="3"/>
    </row>
    <row r="842" ht="15.75" customHeight="1">
      <c r="I842" s="3"/>
      <c r="J842" s="3"/>
      <c r="K842" s="3"/>
      <c r="L842" s="3"/>
      <c r="M842" s="3"/>
      <c r="Q842" s="3"/>
      <c r="R842" s="3"/>
      <c r="S842" s="3"/>
      <c r="T842" s="3"/>
      <c r="U842" s="3"/>
      <c r="V842" s="3"/>
    </row>
    <row r="843" ht="15.75" customHeight="1">
      <c r="I843" s="3"/>
      <c r="J843" s="3"/>
      <c r="K843" s="3"/>
      <c r="L843" s="3"/>
      <c r="M843" s="3"/>
      <c r="Q843" s="3"/>
      <c r="R843" s="3"/>
      <c r="S843" s="3"/>
      <c r="T843" s="3"/>
      <c r="U843" s="3"/>
      <c r="V843" s="3"/>
    </row>
    <row r="844" ht="15.75" customHeight="1">
      <c r="I844" s="3"/>
      <c r="J844" s="3"/>
      <c r="K844" s="3"/>
      <c r="L844" s="3"/>
      <c r="M844" s="3"/>
      <c r="Q844" s="3"/>
      <c r="R844" s="3"/>
      <c r="S844" s="3"/>
      <c r="T844" s="3"/>
      <c r="U844" s="3"/>
      <c r="V844" s="3"/>
    </row>
    <row r="845" ht="15.75" customHeight="1">
      <c r="I845" s="3"/>
      <c r="J845" s="3"/>
      <c r="K845" s="3"/>
      <c r="L845" s="3"/>
      <c r="M845" s="3"/>
      <c r="Q845" s="3"/>
      <c r="R845" s="3"/>
      <c r="S845" s="3"/>
      <c r="T845" s="3"/>
      <c r="U845" s="3"/>
      <c r="V845" s="3"/>
    </row>
    <row r="846" ht="15.75" customHeight="1">
      <c r="I846" s="3"/>
      <c r="J846" s="3"/>
      <c r="K846" s="3"/>
      <c r="L846" s="3"/>
      <c r="M846" s="3"/>
      <c r="Q846" s="3"/>
      <c r="R846" s="3"/>
      <c r="S846" s="3"/>
      <c r="T846" s="3"/>
      <c r="U846" s="3"/>
      <c r="V846" s="3"/>
    </row>
    <row r="847" ht="15.75" customHeight="1">
      <c r="I847" s="3"/>
      <c r="J847" s="3"/>
      <c r="K847" s="3"/>
      <c r="L847" s="3"/>
      <c r="M847" s="3"/>
      <c r="Q847" s="3"/>
      <c r="R847" s="3"/>
      <c r="S847" s="3"/>
      <c r="T847" s="3"/>
      <c r="U847" s="3"/>
      <c r="V847" s="3"/>
    </row>
    <row r="848" ht="15.75" customHeight="1">
      <c r="I848" s="3"/>
      <c r="J848" s="3"/>
      <c r="K848" s="3"/>
      <c r="L848" s="3"/>
      <c r="M848" s="3"/>
      <c r="Q848" s="3"/>
      <c r="R848" s="3"/>
      <c r="S848" s="3"/>
      <c r="T848" s="3"/>
      <c r="U848" s="3"/>
      <c r="V848" s="3"/>
    </row>
    <row r="849" ht="15.75" customHeight="1">
      <c r="I849" s="3"/>
      <c r="J849" s="3"/>
      <c r="K849" s="3"/>
      <c r="L849" s="3"/>
      <c r="M849" s="3"/>
      <c r="Q849" s="3"/>
      <c r="R849" s="3"/>
      <c r="S849" s="3"/>
      <c r="T849" s="3"/>
      <c r="U849" s="3"/>
      <c r="V849" s="3"/>
    </row>
    <row r="850" ht="15.75" customHeight="1">
      <c r="I850" s="3"/>
      <c r="J850" s="3"/>
      <c r="K850" s="3"/>
      <c r="L850" s="3"/>
      <c r="M850" s="3"/>
      <c r="Q850" s="3"/>
      <c r="R850" s="3"/>
      <c r="S850" s="3"/>
      <c r="T850" s="3"/>
      <c r="U850" s="3"/>
      <c r="V850" s="3"/>
    </row>
    <row r="851" ht="15.75" customHeight="1">
      <c r="I851" s="3"/>
      <c r="J851" s="3"/>
      <c r="K851" s="3"/>
      <c r="L851" s="3"/>
      <c r="M851" s="3"/>
      <c r="Q851" s="3"/>
      <c r="R851" s="3"/>
      <c r="S851" s="3"/>
      <c r="T851" s="3"/>
      <c r="U851" s="3"/>
      <c r="V851" s="3"/>
    </row>
    <row r="852" ht="15.75" customHeight="1">
      <c r="I852" s="3"/>
      <c r="J852" s="3"/>
      <c r="K852" s="3"/>
      <c r="L852" s="3"/>
      <c r="M852" s="3"/>
      <c r="Q852" s="3"/>
      <c r="R852" s="3"/>
      <c r="S852" s="3"/>
      <c r="T852" s="3"/>
      <c r="U852" s="3"/>
      <c r="V852" s="3"/>
    </row>
    <row r="853" ht="15.75" customHeight="1">
      <c r="I853" s="3"/>
      <c r="J853" s="3"/>
      <c r="K853" s="3"/>
      <c r="L853" s="3"/>
      <c r="M853" s="3"/>
      <c r="Q853" s="3"/>
      <c r="R853" s="3"/>
      <c r="S853" s="3"/>
      <c r="T853" s="3"/>
      <c r="U853" s="3"/>
      <c r="V853" s="3"/>
    </row>
    <row r="854" ht="15.75" customHeight="1">
      <c r="I854" s="3"/>
      <c r="J854" s="3"/>
      <c r="K854" s="3"/>
      <c r="L854" s="3"/>
      <c r="M854" s="3"/>
      <c r="Q854" s="3"/>
      <c r="R854" s="3"/>
      <c r="S854" s="3"/>
      <c r="T854" s="3"/>
      <c r="U854" s="3"/>
      <c r="V854" s="3"/>
    </row>
    <row r="855" ht="15.75" customHeight="1">
      <c r="I855" s="3"/>
      <c r="J855" s="3"/>
      <c r="K855" s="3"/>
      <c r="L855" s="3"/>
      <c r="M855" s="3"/>
      <c r="Q855" s="3"/>
      <c r="R855" s="3"/>
      <c r="S855" s="3"/>
      <c r="T855" s="3"/>
      <c r="U855" s="3"/>
      <c r="V855" s="3"/>
    </row>
    <row r="856" ht="15.75" customHeight="1">
      <c r="I856" s="3"/>
      <c r="J856" s="3"/>
      <c r="K856" s="3"/>
      <c r="L856" s="3"/>
      <c r="M856" s="3"/>
      <c r="Q856" s="3"/>
      <c r="R856" s="3"/>
      <c r="S856" s="3"/>
      <c r="T856" s="3"/>
      <c r="U856" s="3"/>
      <c r="V856" s="3"/>
    </row>
    <row r="857" ht="15.75" customHeight="1">
      <c r="I857" s="3"/>
      <c r="J857" s="3"/>
      <c r="K857" s="3"/>
      <c r="L857" s="3"/>
      <c r="M857" s="3"/>
      <c r="Q857" s="3"/>
      <c r="R857" s="3"/>
      <c r="S857" s="3"/>
      <c r="T857" s="3"/>
      <c r="U857" s="3"/>
      <c r="V857" s="3"/>
    </row>
    <row r="858" ht="15.75" customHeight="1">
      <c r="I858" s="3"/>
      <c r="J858" s="3"/>
      <c r="K858" s="3"/>
      <c r="L858" s="3"/>
      <c r="M858" s="3"/>
      <c r="Q858" s="3"/>
      <c r="R858" s="3"/>
      <c r="S858" s="3"/>
      <c r="T858" s="3"/>
      <c r="U858" s="3"/>
      <c r="V858" s="3"/>
    </row>
    <row r="859" ht="15.75" customHeight="1">
      <c r="I859" s="3"/>
      <c r="J859" s="3"/>
      <c r="K859" s="3"/>
      <c r="L859" s="3"/>
      <c r="M859" s="3"/>
      <c r="Q859" s="3"/>
      <c r="R859" s="3"/>
      <c r="S859" s="3"/>
      <c r="T859" s="3"/>
      <c r="U859" s="3"/>
      <c r="V859" s="3"/>
    </row>
    <row r="860" ht="15.75" customHeight="1">
      <c r="I860" s="3"/>
      <c r="J860" s="3"/>
      <c r="K860" s="3"/>
      <c r="L860" s="3"/>
      <c r="M860" s="3"/>
      <c r="Q860" s="3"/>
      <c r="R860" s="3"/>
      <c r="S860" s="3"/>
      <c r="T860" s="3"/>
      <c r="U860" s="3"/>
      <c r="V860" s="3"/>
    </row>
    <row r="861" ht="15.75" customHeight="1">
      <c r="I861" s="3"/>
      <c r="J861" s="3"/>
      <c r="K861" s="3"/>
      <c r="L861" s="3"/>
      <c r="M861" s="3"/>
      <c r="Q861" s="3"/>
      <c r="R861" s="3"/>
      <c r="S861" s="3"/>
      <c r="T861" s="3"/>
      <c r="U861" s="3"/>
      <c r="V861" s="3"/>
    </row>
    <row r="862" ht="15.75" customHeight="1">
      <c r="I862" s="3"/>
      <c r="J862" s="3"/>
      <c r="K862" s="3"/>
      <c r="L862" s="3"/>
      <c r="M862" s="3"/>
      <c r="Q862" s="3"/>
      <c r="R862" s="3"/>
      <c r="S862" s="3"/>
      <c r="T862" s="3"/>
      <c r="U862" s="3"/>
      <c r="V862" s="3"/>
    </row>
    <row r="863" ht="15.75" customHeight="1">
      <c r="I863" s="3"/>
      <c r="J863" s="3"/>
      <c r="K863" s="3"/>
      <c r="L863" s="3"/>
      <c r="M863" s="3"/>
      <c r="Q863" s="3"/>
      <c r="R863" s="3"/>
      <c r="S863" s="3"/>
      <c r="T863" s="3"/>
      <c r="U863" s="3"/>
      <c r="V863" s="3"/>
    </row>
    <row r="864" ht="15.75" customHeight="1">
      <c r="I864" s="3"/>
      <c r="J864" s="3"/>
      <c r="K864" s="3"/>
      <c r="L864" s="3"/>
      <c r="M864" s="3"/>
      <c r="Q864" s="3"/>
      <c r="R864" s="3"/>
      <c r="S864" s="3"/>
      <c r="T864" s="3"/>
      <c r="U864" s="3"/>
      <c r="V864" s="3"/>
    </row>
    <row r="865" ht="15.75" customHeight="1">
      <c r="I865" s="3"/>
      <c r="J865" s="3"/>
      <c r="K865" s="3"/>
      <c r="L865" s="3"/>
      <c r="M865" s="3"/>
      <c r="Q865" s="3"/>
      <c r="R865" s="3"/>
      <c r="S865" s="3"/>
      <c r="T865" s="3"/>
      <c r="U865" s="3"/>
      <c r="V865" s="3"/>
    </row>
    <row r="866" ht="15.75" customHeight="1">
      <c r="I866" s="3"/>
      <c r="J866" s="3"/>
      <c r="K866" s="3"/>
      <c r="L866" s="3"/>
      <c r="M866" s="3"/>
      <c r="Q866" s="3"/>
      <c r="R866" s="3"/>
      <c r="S866" s="3"/>
      <c r="T866" s="3"/>
      <c r="U866" s="3"/>
      <c r="V866" s="3"/>
    </row>
    <row r="867" ht="15.75" customHeight="1">
      <c r="I867" s="3"/>
      <c r="J867" s="3"/>
      <c r="K867" s="3"/>
      <c r="L867" s="3"/>
      <c r="M867" s="3"/>
      <c r="Q867" s="3"/>
      <c r="R867" s="3"/>
      <c r="S867" s="3"/>
      <c r="T867" s="3"/>
      <c r="U867" s="3"/>
      <c r="V867" s="3"/>
    </row>
    <row r="868" ht="15.75" customHeight="1">
      <c r="I868" s="3"/>
      <c r="J868" s="3"/>
      <c r="K868" s="3"/>
      <c r="L868" s="3"/>
      <c r="M868" s="3"/>
      <c r="Q868" s="3"/>
      <c r="R868" s="3"/>
      <c r="S868" s="3"/>
      <c r="T868" s="3"/>
      <c r="U868" s="3"/>
      <c r="V868" s="3"/>
    </row>
    <row r="869" ht="15.75" customHeight="1">
      <c r="I869" s="3"/>
      <c r="J869" s="3"/>
      <c r="K869" s="3"/>
      <c r="L869" s="3"/>
      <c r="M869" s="3"/>
      <c r="Q869" s="3"/>
      <c r="R869" s="3"/>
      <c r="S869" s="3"/>
      <c r="T869" s="3"/>
      <c r="U869" s="3"/>
      <c r="V869" s="3"/>
    </row>
    <row r="870" ht="15.75" customHeight="1">
      <c r="I870" s="3"/>
      <c r="J870" s="3"/>
      <c r="K870" s="3"/>
      <c r="L870" s="3"/>
      <c r="M870" s="3"/>
      <c r="Q870" s="3"/>
      <c r="R870" s="3"/>
      <c r="S870" s="3"/>
      <c r="T870" s="3"/>
      <c r="U870" s="3"/>
      <c r="V870" s="3"/>
    </row>
    <row r="871" ht="15.75" customHeight="1">
      <c r="I871" s="3"/>
      <c r="J871" s="3"/>
      <c r="K871" s="3"/>
      <c r="L871" s="3"/>
      <c r="M871" s="3"/>
      <c r="Q871" s="3"/>
      <c r="R871" s="3"/>
      <c r="S871" s="3"/>
      <c r="T871" s="3"/>
      <c r="U871" s="3"/>
      <c r="V871" s="3"/>
    </row>
    <row r="872" ht="15.75" customHeight="1">
      <c r="I872" s="3"/>
      <c r="J872" s="3"/>
      <c r="K872" s="3"/>
      <c r="L872" s="3"/>
      <c r="M872" s="3"/>
      <c r="Q872" s="3"/>
      <c r="R872" s="3"/>
      <c r="S872" s="3"/>
      <c r="T872" s="3"/>
      <c r="U872" s="3"/>
      <c r="V872" s="3"/>
    </row>
    <row r="873" ht="15.75" customHeight="1">
      <c r="I873" s="3"/>
      <c r="J873" s="3"/>
      <c r="K873" s="3"/>
      <c r="L873" s="3"/>
      <c r="M873" s="3"/>
      <c r="Q873" s="3"/>
      <c r="R873" s="3"/>
      <c r="S873" s="3"/>
      <c r="T873" s="3"/>
      <c r="U873" s="3"/>
      <c r="V873" s="3"/>
    </row>
    <row r="874" ht="15.75" customHeight="1">
      <c r="I874" s="3"/>
      <c r="J874" s="3"/>
      <c r="K874" s="3"/>
      <c r="L874" s="3"/>
      <c r="M874" s="3"/>
      <c r="Q874" s="3"/>
      <c r="R874" s="3"/>
      <c r="S874" s="3"/>
      <c r="T874" s="3"/>
      <c r="U874" s="3"/>
      <c r="V874" s="3"/>
    </row>
    <row r="875" ht="15.75" customHeight="1">
      <c r="I875" s="3"/>
      <c r="J875" s="3"/>
      <c r="K875" s="3"/>
      <c r="L875" s="3"/>
      <c r="M875" s="3"/>
      <c r="Q875" s="3"/>
      <c r="R875" s="3"/>
      <c r="S875" s="3"/>
      <c r="T875" s="3"/>
      <c r="U875" s="3"/>
      <c r="V875" s="3"/>
    </row>
    <row r="876" ht="15.75" customHeight="1">
      <c r="I876" s="3"/>
      <c r="J876" s="3"/>
      <c r="K876" s="3"/>
      <c r="L876" s="3"/>
      <c r="M876" s="3"/>
      <c r="Q876" s="3"/>
      <c r="R876" s="3"/>
      <c r="S876" s="3"/>
      <c r="T876" s="3"/>
      <c r="U876" s="3"/>
      <c r="V876" s="3"/>
    </row>
    <row r="877" ht="15.75" customHeight="1">
      <c r="I877" s="3"/>
      <c r="J877" s="3"/>
      <c r="K877" s="3"/>
      <c r="L877" s="3"/>
      <c r="M877" s="3"/>
      <c r="Q877" s="3"/>
      <c r="R877" s="3"/>
      <c r="S877" s="3"/>
      <c r="T877" s="3"/>
      <c r="U877" s="3"/>
      <c r="V877" s="3"/>
    </row>
    <row r="878" ht="15.75" customHeight="1">
      <c r="I878" s="3"/>
      <c r="J878" s="3"/>
      <c r="K878" s="3"/>
      <c r="L878" s="3"/>
      <c r="M878" s="3"/>
      <c r="Q878" s="3"/>
      <c r="R878" s="3"/>
      <c r="S878" s="3"/>
      <c r="T878" s="3"/>
      <c r="U878" s="3"/>
      <c r="V878" s="3"/>
    </row>
    <row r="879" ht="15.75" customHeight="1">
      <c r="I879" s="3"/>
      <c r="J879" s="3"/>
      <c r="K879" s="3"/>
      <c r="L879" s="3"/>
      <c r="M879" s="3"/>
      <c r="Q879" s="3"/>
      <c r="R879" s="3"/>
      <c r="S879" s="3"/>
      <c r="T879" s="3"/>
      <c r="U879" s="3"/>
      <c r="V879" s="3"/>
    </row>
    <row r="880" ht="15.75" customHeight="1">
      <c r="I880" s="3"/>
      <c r="J880" s="3"/>
      <c r="K880" s="3"/>
      <c r="L880" s="3"/>
      <c r="M880" s="3"/>
      <c r="Q880" s="3"/>
      <c r="R880" s="3"/>
      <c r="S880" s="3"/>
      <c r="T880" s="3"/>
      <c r="U880" s="3"/>
      <c r="V880" s="3"/>
    </row>
    <row r="881" ht="15.75" customHeight="1">
      <c r="I881" s="3"/>
      <c r="J881" s="3"/>
      <c r="K881" s="3"/>
      <c r="L881" s="3"/>
      <c r="M881" s="3"/>
      <c r="Q881" s="3"/>
      <c r="R881" s="3"/>
      <c r="S881" s="3"/>
      <c r="T881" s="3"/>
      <c r="U881" s="3"/>
      <c r="V881" s="3"/>
    </row>
    <row r="882" ht="15.75" customHeight="1">
      <c r="I882" s="3"/>
      <c r="J882" s="3"/>
      <c r="K882" s="3"/>
      <c r="L882" s="3"/>
      <c r="M882" s="3"/>
      <c r="Q882" s="3"/>
      <c r="R882" s="3"/>
      <c r="S882" s="3"/>
      <c r="T882" s="3"/>
      <c r="U882" s="3"/>
      <c r="V882" s="3"/>
    </row>
    <row r="883" ht="15.75" customHeight="1">
      <c r="I883" s="3"/>
      <c r="J883" s="3"/>
      <c r="K883" s="3"/>
      <c r="L883" s="3"/>
      <c r="M883" s="3"/>
      <c r="Q883" s="3"/>
      <c r="R883" s="3"/>
      <c r="S883" s="3"/>
      <c r="T883" s="3"/>
      <c r="U883" s="3"/>
      <c r="V883" s="3"/>
    </row>
    <row r="884" ht="15.75" customHeight="1">
      <c r="I884" s="3"/>
      <c r="J884" s="3"/>
      <c r="K884" s="3"/>
      <c r="L884" s="3"/>
      <c r="M884" s="3"/>
      <c r="Q884" s="3"/>
      <c r="R884" s="3"/>
      <c r="S884" s="3"/>
      <c r="T884" s="3"/>
      <c r="U884" s="3"/>
      <c r="V884" s="3"/>
    </row>
    <row r="885" ht="15.75" customHeight="1">
      <c r="I885" s="3"/>
      <c r="J885" s="3"/>
      <c r="K885" s="3"/>
      <c r="L885" s="3"/>
      <c r="M885" s="3"/>
      <c r="Q885" s="3"/>
      <c r="R885" s="3"/>
      <c r="S885" s="3"/>
      <c r="T885" s="3"/>
      <c r="U885" s="3"/>
      <c r="V885" s="3"/>
    </row>
    <row r="886" ht="15.75" customHeight="1">
      <c r="I886" s="3"/>
      <c r="J886" s="3"/>
      <c r="K886" s="3"/>
      <c r="L886" s="3"/>
      <c r="M886" s="3"/>
      <c r="Q886" s="3"/>
      <c r="R886" s="3"/>
      <c r="S886" s="3"/>
      <c r="T886" s="3"/>
      <c r="U886" s="3"/>
      <c r="V886" s="3"/>
    </row>
    <row r="887" ht="15.75" customHeight="1">
      <c r="I887" s="3"/>
      <c r="J887" s="3"/>
      <c r="K887" s="3"/>
      <c r="L887" s="3"/>
      <c r="M887" s="3"/>
      <c r="Q887" s="3"/>
      <c r="R887" s="3"/>
      <c r="S887" s="3"/>
      <c r="T887" s="3"/>
      <c r="U887" s="3"/>
      <c r="V887" s="3"/>
    </row>
    <row r="888" ht="15.75" customHeight="1">
      <c r="I888" s="3"/>
      <c r="J888" s="3"/>
      <c r="K888" s="3"/>
      <c r="L888" s="3"/>
      <c r="M888" s="3"/>
      <c r="Q888" s="3"/>
      <c r="R888" s="3"/>
      <c r="S888" s="3"/>
      <c r="T888" s="3"/>
      <c r="U888" s="3"/>
      <c r="V888" s="3"/>
    </row>
    <row r="889" ht="15.75" customHeight="1">
      <c r="I889" s="3"/>
      <c r="J889" s="3"/>
      <c r="K889" s="3"/>
      <c r="L889" s="3"/>
      <c r="M889" s="3"/>
      <c r="Q889" s="3"/>
      <c r="R889" s="3"/>
      <c r="S889" s="3"/>
      <c r="T889" s="3"/>
      <c r="U889" s="3"/>
      <c r="V889" s="3"/>
    </row>
    <row r="890" ht="15.75" customHeight="1">
      <c r="I890" s="3"/>
      <c r="J890" s="3"/>
      <c r="K890" s="3"/>
      <c r="L890" s="3"/>
      <c r="M890" s="3"/>
      <c r="Q890" s="3"/>
      <c r="R890" s="3"/>
      <c r="S890" s="3"/>
      <c r="T890" s="3"/>
      <c r="U890" s="3"/>
      <c r="V890" s="3"/>
    </row>
    <row r="891" ht="15.75" customHeight="1">
      <c r="I891" s="3"/>
      <c r="J891" s="3"/>
      <c r="K891" s="3"/>
      <c r="L891" s="3"/>
      <c r="M891" s="3"/>
      <c r="Q891" s="3"/>
      <c r="R891" s="3"/>
      <c r="S891" s="3"/>
      <c r="T891" s="3"/>
      <c r="U891" s="3"/>
      <c r="V891" s="3"/>
    </row>
    <row r="892" ht="15.75" customHeight="1">
      <c r="I892" s="3"/>
      <c r="J892" s="3"/>
      <c r="K892" s="3"/>
      <c r="L892" s="3"/>
      <c r="M892" s="3"/>
      <c r="Q892" s="3"/>
      <c r="R892" s="3"/>
      <c r="S892" s="3"/>
      <c r="T892" s="3"/>
      <c r="U892" s="3"/>
      <c r="V892" s="3"/>
    </row>
    <row r="893" ht="15.75" customHeight="1">
      <c r="I893" s="3"/>
      <c r="J893" s="3"/>
      <c r="K893" s="3"/>
      <c r="L893" s="3"/>
      <c r="M893" s="3"/>
      <c r="Q893" s="3"/>
      <c r="R893" s="3"/>
      <c r="S893" s="3"/>
      <c r="T893" s="3"/>
      <c r="U893" s="3"/>
      <c r="V893" s="3"/>
    </row>
    <row r="894" ht="15.75" customHeight="1">
      <c r="I894" s="3"/>
      <c r="J894" s="3"/>
      <c r="K894" s="3"/>
      <c r="L894" s="3"/>
      <c r="M894" s="3"/>
      <c r="Q894" s="3"/>
      <c r="R894" s="3"/>
      <c r="S894" s="3"/>
      <c r="T894" s="3"/>
      <c r="U894" s="3"/>
      <c r="V894" s="3"/>
    </row>
    <row r="895" ht="15.75" customHeight="1">
      <c r="I895" s="3"/>
      <c r="J895" s="3"/>
      <c r="K895" s="3"/>
      <c r="L895" s="3"/>
      <c r="M895" s="3"/>
      <c r="Q895" s="3"/>
      <c r="R895" s="3"/>
      <c r="S895" s="3"/>
      <c r="T895" s="3"/>
      <c r="U895" s="3"/>
      <c r="V895" s="3"/>
    </row>
    <row r="896" ht="15.75" customHeight="1">
      <c r="I896" s="3"/>
      <c r="J896" s="3"/>
      <c r="K896" s="3"/>
      <c r="L896" s="3"/>
      <c r="M896" s="3"/>
      <c r="Q896" s="3"/>
      <c r="R896" s="3"/>
      <c r="S896" s="3"/>
      <c r="T896" s="3"/>
      <c r="U896" s="3"/>
      <c r="V896" s="3"/>
    </row>
    <row r="897" ht="15.75" customHeight="1">
      <c r="I897" s="3"/>
      <c r="J897" s="3"/>
      <c r="K897" s="3"/>
      <c r="L897" s="3"/>
      <c r="M897" s="3"/>
      <c r="Q897" s="3"/>
      <c r="R897" s="3"/>
      <c r="S897" s="3"/>
      <c r="T897" s="3"/>
      <c r="U897" s="3"/>
      <c r="V897" s="3"/>
    </row>
    <row r="898" ht="15.75" customHeight="1">
      <c r="I898" s="3"/>
      <c r="J898" s="3"/>
      <c r="K898" s="3"/>
      <c r="L898" s="3"/>
      <c r="M898" s="3"/>
      <c r="Q898" s="3"/>
      <c r="R898" s="3"/>
      <c r="S898" s="3"/>
      <c r="T898" s="3"/>
      <c r="U898" s="3"/>
      <c r="V898" s="3"/>
    </row>
    <row r="899" ht="15.75" customHeight="1">
      <c r="I899" s="3"/>
      <c r="J899" s="3"/>
      <c r="K899" s="3"/>
      <c r="L899" s="3"/>
      <c r="M899" s="3"/>
      <c r="Q899" s="3"/>
      <c r="R899" s="3"/>
      <c r="S899" s="3"/>
      <c r="T899" s="3"/>
      <c r="U899" s="3"/>
      <c r="V899" s="3"/>
    </row>
    <row r="900" ht="15.75" customHeight="1">
      <c r="I900" s="3"/>
      <c r="J900" s="3"/>
      <c r="K900" s="3"/>
      <c r="L900" s="3"/>
      <c r="M900" s="3"/>
      <c r="Q900" s="3"/>
      <c r="R900" s="3"/>
      <c r="S900" s="3"/>
      <c r="T900" s="3"/>
      <c r="U900" s="3"/>
      <c r="V900" s="3"/>
    </row>
    <row r="901" ht="15.75" customHeight="1">
      <c r="I901" s="3"/>
      <c r="J901" s="3"/>
      <c r="K901" s="3"/>
      <c r="L901" s="3"/>
      <c r="M901" s="3"/>
      <c r="Q901" s="3"/>
      <c r="R901" s="3"/>
      <c r="S901" s="3"/>
      <c r="T901" s="3"/>
      <c r="U901" s="3"/>
      <c r="V901" s="3"/>
    </row>
    <row r="902" ht="15.75" customHeight="1">
      <c r="I902" s="3"/>
      <c r="J902" s="3"/>
      <c r="K902" s="3"/>
      <c r="L902" s="3"/>
      <c r="M902" s="3"/>
      <c r="Q902" s="3"/>
      <c r="R902" s="3"/>
      <c r="S902" s="3"/>
      <c r="T902" s="3"/>
      <c r="U902" s="3"/>
      <c r="V902" s="3"/>
    </row>
    <row r="903" ht="15.75" customHeight="1">
      <c r="I903" s="3"/>
      <c r="J903" s="3"/>
      <c r="K903" s="3"/>
      <c r="L903" s="3"/>
      <c r="M903" s="3"/>
      <c r="Q903" s="3"/>
      <c r="R903" s="3"/>
      <c r="S903" s="3"/>
      <c r="T903" s="3"/>
      <c r="U903" s="3"/>
      <c r="V903" s="3"/>
    </row>
    <row r="904" ht="15.75" customHeight="1">
      <c r="I904" s="3"/>
      <c r="J904" s="3"/>
      <c r="K904" s="3"/>
      <c r="L904" s="3"/>
      <c r="M904" s="3"/>
      <c r="Q904" s="3"/>
      <c r="R904" s="3"/>
      <c r="S904" s="3"/>
      <c r="T904" s="3"/>
      <c r="U904" s="3"/>
      <c r="V904" s="3"/>
    </row>
    <row r="905" ht="15.75" customHeight="1">
      <c r="I905" s="3"/>
      <c r="J905" s="3"/>
      <c r="K905" s="3"/>
      <c r="L905" s="3"/>
      <c r="M905" s="3"/>
      <c r="Q905" s="3"/>
      <c r="R905" s="3"/>
      <c r="S905" s="3"/>
      <c r="T905" s="3"/>
      <c r="U905" s="3"/>
      <c r="V905" s="3"/>
    </row>
    <row r="906" ht="15.75" customHeight="1">
      <c r="I906" s="3"/>
      <c r="J906" s="3"/>
      <c r="K906" s="3"/>
      <c r="L906" s="3"/>
      <c r="M906" s="3"/>
      <c r="Q906" s="3"/>
      <c r="R906" s="3"/>
      <c r="S906" s="3"/>
      <c r="T906" s="3"/>
      <c r="U906" s="3"/>
      <c r="V906" s="3"/>
    </row>
    <row r="907" ht="15.75" customHeight="1">
      <c r="I907" s="3"/>
      <c r="J907" s="3"/>
      <c r="K907" s="3"/>
      <c r="L907" s="3"/>
      <c r="M907" s="3"/>
      <c r="Q907" s="3"/>
      <c r="R907" s="3"/>
      <c r="S907" s="3"/>
      <c r="T907" s="3"/>
      <c r="U907" s="3"/>
      <c r="V907" s="3"/>
    </row>
    <row r="908" ht="15.75" customHeight="1">
      <c r="I908" s="3"/>
      <c r="J908" s="3"/>
      <c r="K908" s="3"/>
      <c r="L908" s="3"/>
      <c r="M908" s="3"/>
      <c r="Q908" s="3"/>
      <c r="R908" s="3"/>
      <c r="S908" s="3"/>
      <c r="T908" s="3"/>
      <c r="U908" s="3"/>
      <c r="V908" s="3"/>
    </row>
    <row r="909" ht="15.75" customHeight="1">
      <c r="I909" s="3"/>
      <c r="J909" s="3"/>
      <c r="K909" s="3"/>
      <c r="L909" s="3"/>
      <c r="M909" s="3"/>
      <c r="Q909" s="3"/>
      <c r="R909" s="3"/>
      <c r="S909" s="3"/>
      <c r="T909" s="3"/>
      <c r="U909" s="3"/>
      <c r="V909" s="3"/>
    </row>
    <row r="910" ht="15.75" customHeight="1">
      <c r="I910" s="3"/>
      <c r="J910" s="3"/>
      <c r="K910" s="3"/>
      <c r="L910" s="3"/>
      <c r="M910" s="3"/>
      <c r="Q910" s="3"/>
      <c r="R910" s="3"/>
      <c r="S910" s="3"/>
      <c r="T910" s="3"/>
      <c r="U910" s="3"/>
      <c r="V910" s="3"/>
    </row>
    <row r="911" ht="15.75" customHeight="1">
      <c r="I911" s="3"/>
      <c r="J911" s="3"/>
      <c r="K911" s="3"/>
      <c r="L911" s="3"/>
      <c r="M911" s="3"/>
      <c r="Q911" s="3"/>
      <c r="R911" s="3"/>
      <c r="S911" s="3"/>
      <c r="T911" s="3"/>
      <c r="U911" s="3"/>
      <c r="V911" s="3"/>
    </row>
    <row r="912" ht="15.75" customHeight="1">
      <c r="I912" s="3"/>
      <c r="J912" s="3"/>
      <c r="K912" s="3"/>
      <c r="L912" s="3"/>
      <c r="M912" s="3"/>
      <c r="Q912" s="3"/>
      <c r="R912" s="3"/>
      <c r="S912" s="3"/>
      <c r="T912" s="3"/>
      <c r="U912" s="3"/>
      <c r="V912" s="3"/>
    </row>
    <row r="913" ht="15.75" customHeight="1">
      <c r="I913" s="3"/>
      <c r="J913" s="3"/>
      <c r="K913" s="3"/>
      <c r="L913" s="3"/>
      <c r="M913" s="3"/>
      <c r="Q913" s="3"/>
      <c r="R913" s="3"/>
      <c r="S913" s="3"/>
      <c r="T913" s="3"/>
      <c r="U913" s="3"/>
      <c r="V913" s="3"/>
    </row>
    <row r="914" ht="15.75" customHeight="1">
      <c r="I914" s="3"/>
      <c r="J914" s="3"/>
      <c r="K914" s="3"/>
      <c r="L914" s="3"/>
      <c r="M914" s="3"/>
      <c r="Q914" s="3"/>
      <c r="R914" s="3"/>
      <c r="S914" s="3"/>
      <c r="T914" s="3"/>
      <c r="U914" s="3"/>
      <c r="V914" s="3"/>
    </row>
    <row r="915" ht="15.75" customHeight="1">
      <c r="I915" s="3"/>
      <c r="J915" s="3"/>
      <c r="K915" s="3"/>
      <c r="L915" s="3"/>
      <c r="M915" s="3"/>
      <c r="Q915" s="3"/>
      <c r="R915" s="3"/>
      <c r="S915" s="3"/>
      <c r="T915" s="3"/>
      <c r="U915" s="3"/>
      <c r="V915" s="3"/>
    </row>
    <row r="916" ht="15.75" customHeight="1">
      <c r="I916" s="3"/>
      <c r="J916" s="3"/>
      <c r="K916" s="3"/>
      <c r="L916" s="3"/>
      <c r="M916" s="3"/>
      <c r="Q916" s="3"/>
      <c r="R916" s="3"/>
      <c r="S916" s="3"/>
      <c r="T916" s="3"/>
      <c r="U916" s="3"/>
      <c r="V916" s="3"/>
    </row>
    <row r="917" ht="15.75" customHeight="1">
      <c r="I917" s="3"/>
      <c r="J917" s="3"/>
      <c r="K917" s="3"/>
      <c r="L917" s="3"/>
      <c r="M917" s="3"/>
      <c r="Q917" s="3"/>
      <c r="R917" s="3"/>
      <c r="S917" s="3"/>
      <c r="T917" s="3"/>
      <c r="U917" s="3"/>
      <c r="V917" s="3"/>
    </row>
    <row r="918" ht="15.75" customHeight="1">
      <c r="I918" s="3"/>
      <c r="J918" s="3"/>
      <c r="K918" s="3"/>
      <c r="L918" s="3"/>
      <c r="M918" s="3"/>
      <c r="Q918" s="3"/>
      <c r="R918" s="3"/>
      <c r="S918" s="3"/>
      <c r="T918" s="3"/>
      <c r="U918" s="3"/>
      <c r="V918" s="3"/>
    </row>
    <row r="919" ht="15.75" customHeight="1">
      <c r="I919" s="3"/>
      <c r="J919" s="3"/>
      <c r="K919" s="3"/>
      <c r="L919" s="3"/>
      <c r="M919" s="3"/>
      <c r="Q919" s="3"/>
      <c r="R919" s="3"/>
      <c r="S919" s="3"/>
      <c r="T919" s="3"/>
      <c r="U919" s="3"/>
      <c r="V919" s="3"/>
    </row>
    <row r="920" ht="15.75" customHeight="1">
      <c r="I920" s="3"/>
      <c r="J920" s="3"/>
      <c r="K920" s="3"/>
      <c r="L920" s="3"/>
      <c r="M920" s="3"/>
      <c r="Q920" s="3"/>
      <c r="R920" s="3"/>
      <c r="S920" s="3"/>
      <c r="T920" s="3"/>
      <c r="U920" s="3"/>
      <c r="V920" s="3"/>
    </row>
    <row r="921" ht="15.75" customHeight="1">
      <c r="I921" s="3"/>
      <c r="J921" s="3"/>
      <c r="K921" s="3"/>
      <c r="L921" s="3"/>
      <c r="M921" s="3"/>
      <c r="Q921" s="3"/>
      <c r="R921" s="3"/>
      <c r="S921" s="3"/>
      <c r="T921" s="3"/>
      <c r="U921" s="3"/>
      <c r="V921" s="3"/>
    </row>
    <row r="922" ht="15.75" customHeight="1">
      <c r="I922" s="3"/>
      <c r="J922" s="3"/>
      <c r="K922" s="3"/>
      <c r="L922" s="3"/>
      <c r="M922" s="3"/>
      <c r="Q922" s="3"/>
      <c r="R922" s="3"/>
      <c r="S922" s="3"/>
      <c r="T922" s="3"/>
      <c r="U922" s="3"/>
      <c r="V922" s="3"/>
    </row>
    <row r="923" ht="15.75" customHeight="1">
      <c r="I923" s="3"/>
      <c r="J923" s="3"/>
      <c r="K923" s="3"/>
      <c r="L923" s="3"/>
      <c r="M923" s="3"/>
      <c r="Q923" s="3"/>
      <c r="R923" s="3"/>
      <c r="S923" s="3"/>
      <c r="T923" s="3"/>
      <c r="U923" s="3"/>
      <c r="V923" s="3"/>
    </row>
    <row r="924" ht="15.75" customHeight="1">
      <c r="I924" s="3"/>
      <c r="J924" s="3"/>
      <c r="K924" s="3"/>
      <c r="L924" s="3"/>
      <c r="M924" s="3"/>
      <c r="Q924" s="3"/>
      <c r="R924" s="3"/>
      <c r="S924" s="3"/>
      <c r="T924" s="3"/>
      <c r="U924" s="3"/>
      <c r="V924" s="3"/>
    </row>
    <row r="925" ht="15.75" customHeight="1">
      <c r="I925" s="3"/>
      <c r="J925" s="3"/>
      <c r="K925" s="3"/>
      <c r="L925" s="3"/>
      <c r="M925" s="3"/>
      <c r="Q925" s="3"/>
      <c r="R925" s="3"/>
      <c r="S925" s="3"/>
      <c r="T925" s="3"/>
      <c r="U925" s="3"/>
      <c r="V925" s="3"/>
    </row>
    <row r="926" ht="15.75" customHeight="1">
      <c r="I926" s="3"/>
      <c r="J926" s="3"/>
      <c r="K926" s="3"/>
      <c r="L926" s="3"/>
      <c r="M926" s="3"/>
      <c r="Q926" s="3"/>
      <c r="R926" s="3"/>
      <c r="S926" s="3"/>
      <c r="T926" s="3"/>
      <c r="U926" s="3"/>
      <c r="V926" s="3"/>
    </row>
    <row r="927" ht="15.75" customHeight="1">
      <c r="I927" s="3"/>
      <c r="J927" s="3"/>
      <c r="K927" s="3"/>
      <c r="L927" s="3"/>
      <c r="M927" s="3"/>
      <c r="Q927" s="3"/>
      <c r="R927" s="3"/>
      <c r="S927" s="3"/>
      <c r="T927" s="3"/>
      <c r="U927" s="3"/>
      <c r="V927" s="3"/>
    </row>
    <row r="928" ht="15.75" customHeight="1">
      <c r="I928" s="3"/>
      <c r="J928" s="3"/>
      <c r="K928" s="3"/>
      <c r="L928" s="3"/>
      <c r="M928" s="3"/>
      <c r="Q928" s="3"/>
      <c r="R928" s="3"/>
      <c r="S928" s="3"/>
      <c r="T928" s="3"/>
      <c r="U928" s="3"/>
      <c r="V928" s="3"/>
    </row>
    <row r="929" ht="15.75" customHeight="1">
      <c r="I929" s="3"/>
      <c r="J929" s="3"/>
      <c r="K929" s="3"/>
      <c r="L929" s="3"/>
      <c r="M929" s="3"/>
      <c r="Q929" s="3"/>
      <c r="R929" s="3"/>
      <c r="S929" s="3"/>
      <c r="T929" s="3"/>
      <c r="U929" s="3"/>
      <c r="V929" s="3"/>
    </row>
    <row r="930" ht="15.75" customHeight="1">
      <c r="I930" s="3"/>
      <c r="J930" s="3"/>
      <c r="K930" s="3"/>
      <c r="L930" s="3"/>
      <c r="M930" s="3"/>
      <c r="Q930" s="3"/>
      <c r="R930" s="3"/>
      <c r="S930" s="3"/>
      <c r="T930" s="3"/>
      <c r="U930" s="3"/>
      <c r="V930" s="3"/>
    </row>
    <row r="931" ht="15.75" customHeight="1">
      <c r="I931" s="3"/>
      <c r="J931" s="3"/>
      <c r="K931" s="3"/>
      <c r="L931" s="3"/>
      <c r="M931" s="3"/>
      <c r="Q931" s="3"/>
      <c r="R931" s="3"/>
      <c r="S931" s="3"/>
      <c r="T931" s="3"/>
      <c r="U931" s="3"/>
      <c r="V931" s="3"/>
    </row>
    <row r="932" ht="15.75" customHeight="1">
      <c r="I932" s="3"/>
      <c r="J932" s="3"/>
      <c r="K932" s="3"/>
      <c r="L932" s="3"/>
      <c r="M932" s="3"/>
      <c r="Q932" s="3"/>
      <c r="R932" s="3"/>
      <c r="S932" s="3"/>
      <c r="T932" s="3"/>
      <c r="U932" s="3"/>
      <c r="V932" s="3"/>
    </row>
    <row r="933" ht="15.75" customHeight="1">
      <c r="I933" s="3"/>
      <c r="J933" s="3"/>
      <c r="K933" s="3"/>
      <c r="L933" s="3"/>
      <c r="M933" s="3"/>
      <c r="Q933" s="3"/>
      <c r="R933" s="3"/>
      <c r="S933" s="3"/>
      <c r="T933" s="3"/>
      <c r="U933" s="3"/>
      <c r="V933" s="3"/>
    </row>
    <row r="934" ht="15.75" customHeight="1">
      <c r="I934" s="3"/>
      <c r="J934" s="3"/>
      <c r="K934" s="3"/>
      <c r="L934" s="3"/>
      <c r="M934" s="3"/>
      <c r="Q934" s="3"/>
      <c r="R934" s="3"/>
      <c r="S934" s="3"/>
      <c r="T934" s="3"/>
      <c r="U934" s="3"/>
      <c r="V934" s="3"/>
    </row>
    <row r="935" ht="15.75" customHeight="1">
      <c r="I935" s="3"/>
      <c r="J935" s="3"/>
      <c r="K935" s="3"/>
      <c r="L935" s="3"/>
      <c r="M935" s="3"/>
      <c r="Q935" s="3"/>
      <c r="R935" s="3"/>
      <c r="S935" s="3"/>
      <c r="T935" s="3"/>
      <c r="U935" s="3"/>
      <c r="V935" s="3"/>
    </row>
    <row r="936" ht="15.75" customHeight="1">
      <c r="I936" s="3"/>
      <c r="J936" s="3"/>
      <c r="K936" s="3"/>
      <c r="L936" s="3"/>
      <c r="M936" s="3"/>
      <c r="Q936" s="3"/>
      <c r="R936" s="3"/>
      <c r="S936" s="3"/>
      <c r="T936" s="3"/>
      <c r="U936" s="3"/>
      <c r="V936" s="3"/>
    </row>
    <row r="937" ht="15.75" customHeight="1">
      <c r="I937" s="3"/>
      <c r="J937" s="3"/>
      <c r="K937" s="3"/>
      <c r="L937" s="3"/>
      <c r="M937" s="3"/>
      <c r="Q937" s="3"/>
      <c r="R937" s="3"/>
      <c r="S937" s="3"/>
      <c r="T937" s="3"/>
      <c r="U937" s="3"/>
      <c r="V937" s="3"/>
    </row>
    <row r="938" ht="15.75" customHeight="1">
      <c r="I938" s="3"/>
      <c r="J938" s="3"/>
      <c r="K938" s="3"/>
      <c r="L938" s="3"/>
      <c r="M938" s="3"/>
      <c r="Q938" s="3"/>
      <c r="R938" s="3"/>
      <c r="S938" s="3"/>
      <c r="T938" s="3"/>
      <c r="U938" s="3"/>
      <c r="V938" s="3"/>
    </row>
    <row r="939" ht="15.75" customHeight="1">
      <c r="I939" s="3"/>
      <c r="J939" s="3"/>
      <c r="K939" s="3"/>
      <c r="L939" s="3"/>
      <c r="M939" s="3"/>
      <c r="Q939" s="3"/>
      <c r="R939" s="3"/>
      <c r="S939" s="3"/>
      <c r="T939" s="3"/>
      <c r="U939" s="3"/>
      <c r="V939" s="3"/>
    </row>
    <row r="940" ht="15.75" customHeight="1">
      <c r="I940" s="3"/>
      <c r="J940" s="3"/>
      <c r="K940" s="3"/>
      <c r="L940" s="3"/>
      <c r="M940" s="3"/>
      <c r="Q940" s="3"/>
      <c r="R940" s="3"/>
      <c r="S940" s="3"/>
      <c r="T940" s="3"/>
      <c r="U940" s="3"/>
      <c r="V940" s="3"/>
    </row>
    <row r="941" ht="15.75" customHeight="1">
      <c r="I941" s="3"/>
      <c r="J941" s="3"/>
      <c r="K941" s="3"/>
      <c r="L941" s="3"/>
      <c r="M941" s="3"/>
      <c r="Q941" s="3"/>
      <c r="R941" s="3"/>
      <c r="S941" s="3"/>
      <c r="T941" s="3"/>
      <c r="U941" s="3"/>
      <c r="V941" s="3"/>
    </row>
    <row r="942" ht="15.75" customHeight="1">
      <c r="I942" s="3"/>
      <c r="J942" s="3"/>
      <c r="K942" s="3"/>
      <c r="L942" s="3"/>
      <c r="M942" s="3"/>
      <c r="Q942" s="3"/>
      <c r="R942" s="3"/>
      <c r="S942" s="3"/>
      <c r="T942" s="3"/>
      <c r="U942" s="3"/>
      <c r="V942" s="3"/>
    </row>
    <row r="943" ht="15.75" customHeight="1">
      <c r="I943" s="3"/>
      <c r="J943" s="3"/>
      <c r="K943" s="3"/>
      <c r="L943" s="3"/>
      <c r="M943" s="3"/>
      <c r="Q943" s="3"/>
      <c r="R943" s="3"/>
      <c r="S943" s="3"/>
      <c r="T943" s="3"/>
      <c r="U943" s="3"/>
      <c r="V943" s="3"/>
    </row>
    <row r="944" ht="15.75" customHeight="1">
      <c r="I944" s="3"/>
      <c r="J944" s="3"/>
      <c r="K944" s="3"/>
      <c r="L944" s="3"/>
      <c r="M944" s="3"/>
      <c r="Q944" s="3"/>
      <c r="R944" s="3"/>
      <c r="S944" s="3"/>
      <c r="T944" s="3"/>
      <c r="U944" s="3"/>
      <c r="V944" s="3"/>
    </row>
    <row r="945" ht="15.75" customHeight="1">
      <c r="I945" s="3"/>
      <c r="J945" s="3"/>
      <c r="K945" s="3"/>
      <c r="L945" s="3"/>
      <c r="M945" s="3"/>
      <c r="Q945" s="3"/>
      <c r="R945" s="3"/>
      <c r="S945" s="3"/>
      <c r="T945" s="3"/>
      <c r="U945" s="3"/>
      <c r="V945" s="3"/>
    </row>
    <row r="946" ht="15.75" customHeight="1">
      <c r="I946" s="3"/>
      <c r="J946" s="3"/>
      <c r="K946" s="3"/>
      <c r="L946" s="3"/>
      <c r="M946" s="3"/>
      <c r="Q946" s="3"/>
      <c r="R946" s="3"/>
      <c r="S946" s="3"/>
      <c r="T946" s="3"/>
      <c r="U946" s="3"/>
      <c r="V946" s="3"/>
    </row>
    <row r="947" ht="15.75" customHeight="1">
      <c r="I947" s="3"/>
      <c r="J947" s="3"/>
      <c r="K947" s="3"/>
      <c r="L947" s="3"/>
      <c r="M947" s="3"/>
      <c r="Q947" s="3"/>
      <c r="R947" s="3"/>
      <c r="S947" s="3"/>
      <c r="T947" s="3"/>
      <c r="U947" s="3"/>
      <c r="V947" s="3"/>
    </row>
    <row r="948" ht="15.75" customHeight="1">
      <c r="I948" s="3"/>
      <c r="J948" s="3"/>
      <c r="K948" s="3"/>
      <c r="L948" s="3"/>
      <c r="M948" s="3"/>
      <c r="Q948" s="3"/>
      <c r="R948" s="3"/>
      <c r="S948" s="3"/>
      <c r="T948" s="3"/>
      <c r="U948" s="3"/>
      <c r="V948" s="3"/>
    </row>
    <row r="949" ht="15.75" customHeight="1">
      <c r="I949" s="3"/>
      <c r="J949" s="3"/>
      <c r="K949" s="3"/>
      <c r="L949" s="3"/>
      <c r="M949" s="3"/>
      <c r="Q949" s="3"/>
      <c r="R949" s="3"/>
      <c r="S949" s="3"/>
      <c r="T949" s="3"/>
      <c r="U949" s="3"/>
      <c r="V949" s="3"/>
    </row>
    <row r="950" ht="15.75" customHeight="1">
      <c r="I950" s="3"/>
      <c r="J950" s="3"/>
      <c r="K950" s="3"/>
      <c r="L950" s="3"/>
      <c r="M950" s="3"/>
      <c r="Q950" s="3"/>
      <c r="R950" s="3"/>
      <c r="S950" s="3"/>
      <c r="T950" s="3"/>
      <c r="U950" s="3"/>
      <c r="V950" s="3"/>
    </row>
    <row r="951" ht="15.75" customHeight="1">
      <c r="I951" s="3"/>
      <c r="J951" s="3"/>
      <c r="K951" s="3"/>
      <c r="L951" s="3"/>
      <c r="M951" s="3"/>
      <c r="Q951" s="3"/>
      <c r="R951" s="3"/>
      <c r="S951" s="3"/>
      <c r="T951" s="3"/>
      <c r="U951" s="3"/>
      <c r="V951" s="3"/>
    </row>
    <row r="952" ht="15.75" customHeight="1">
      <c r="I952" s="3"/>
      <c r="J952" s="3"/>
      <c r="K952" s="3"/>
      <c r="L952" s="3"/>
      <c r="M952" s="3"/>
      <c r="Q952" s="3"/>
      <c r="R952" s="3"/>
      <c r="S952" s="3"/>
      <c r="T952" s="3"/>
      <c r="U952" s="3"/>
      <c r="V952" s="3"/>
    </row>
    <row r="953" ht="15.75" customHeight="1">
      <c r="I953" s="3"/>
      <c r="J953" s="3"/>
      <c r="K953" s="3"/>
      <c r="L953" s="3"/>
      <c r="M953" s="3"/>
      <c r="Q953" s="3"/>
      <c r="R953" s="3"/>
      <c r="S953" s="3"/>
      <c r="T953" s="3"/>
      <c r="U953" s="3"/>
      <c r="V953" s="3"/>
    </row>
    <row r="954" ht="15.75" customHeight="1">
      <c r="I954" s="3"/>
      <c r="J954" s="3"/>
      <c r="K954" s="3"/>
      <c r="L954" s="3"/>
      <c r="M954" s="3"/>
      <c r="Q954" s="3"/>
      <c r="R954" s="3"/>
      <c r="S954" s="3"/>
      <c r="T954" s="3"/>
      <c r="U954" s="3"/>
      <c r="V954" s="3"/>
    </row>
    <row r="955" ht="15.75" customHeight="1">
      <c r="I955" s="3"/>
      <c r="J955" s="3"/>
      <c r="K955" s="3"/>
      <c r="L955" s="3"/>
      <c r="M955" s="3"/>
      <c r="Q955" s="3"/>
      <c r="R955" s="3"/>
      <c r="S955" s="3"/>
      <c r="T955" s="3"/>
      <c r="U955" s="3"/>
      <c r="V955" s="3"/>
    </row>
    <row r="956" ht="15.75" customHeight="1">
      <c r="I956" s="3"/>
      <c r="J956" s="3"/>
      <c r="K956" s="3"/>
      <c r="L956" s="3"/>
      <c r="M956" s="3"/>
      <c r="Q956" s="3"/>
      <c r="R956" s="3"/>
      <c r="S956" s="3"/>
      <c r="T956" s="3"/>
      <c r="U956" s="3"/>
      <c r="V956" s="3"/>
    </row>
    <row r="957" ht="15.75" customHeight="1">
      <c r="I957" s="3"/>
      <c r="J957" s="3"/>
      <c r="K957" s="3"/>
      <c r="L957" s="3"/>
      <c r="M957" s="3"/>
      <c r="Q957" s="3"/>
      <c r="R957" s="3"/>
      <c r="S957" s="3"/>
      <c r="T957" s="3"/>
      <c r="U957" s="3"/>
      <c r="V957" s="3"/>
    </row>
    <row r="958" ht="15.75" customHeight="1">
      <c r="I958" s="3"/>
      <c r="J958" s="3"/>
      <c r="K958" s="3"/>
      <c r="L958" s="3"/>
      <c r="M958" s="3"/>
      <c r="Q958" s="3"/>
      <c r="R958" s="3"/>
      <c r="S958" s="3"/>
      <c r="T958" s="3"/>
      <c r="U958" s="3"/>
      <c r="V958" s="3"/>
    </row>
    <row r="959" ht="15.75" customHeight="1">
      <c r="I959" s="3"/>
      <c r="J959" s="3"/>
      <c r="K959" s="3"/>
      <c r="L959" s="3"/>
      <c r="M959" s="3"/>
      <c r="Q959" s="3"/>
      <c r="R959" s="3"/>
      <c r="S959" s="3"/>
      <c r="T959" s="3"/>
      <c r="U959" s="3"/>
      <c r="V959" s="3"/>
    </row>
    <row r="960" ht="15.75" customHeight="1">
      <c r="I960" s="3"/>
      <c r="J960" s="3"/>
      <c r="K960" s="3"/>
      <c r="L960" s="3"/>
      <c r="M960" s="3"/>
      <c r="Q960" s="3"/>
      <c r="R960" s="3"/>
      <c r="S960" s="3"/>
      <c r="T960" s="3"/>
      <c r="U960" s="3"/>
      <c r="V960" s="3"/>
    </row>
    <row r="961" ht="15.75" customHeight="1">
      <c r="I961" s="3"/>
      <c r="J961" s="3"/>
      <c r="K961" s="3"/>
      <c r="L961" s="3"/>
      <c r="M961" s="3"/>
      <c r="Q961" s="3"/>
      <c r="R961" s="3"/>
      <c r="S961" s="3"/>
      <c r="T961" s="3"/>
      <c r="U961" s="3"/>
      <c r="V961" s="3"/>
    </row>
    <row r="962" ht="15.75" customHeight="1">
      <c r="I962" s="3"/>
      <c r="J962" s="3"/>
      <c r="K962" s="3"/>
      <c r="L962" s="3"/>
      <c r="M962" s="3"/>
      <c r="Q962" s="3"/>
      <c r="R962" s="3"/>
      <c r="S962" s="3"/>
      <c r="T962" s="3"/>
      <c r="U962" s="3"/>
      <c r="V962" s="3"/>
    </row>
    <row r="963" ht="15.75" customHeight="1">
      <c r="I963" s="3"/>
      <c r="J963" s="3"/>
      <c r="K963" s="3"/>
      <c r="L963" s="3"/>
      <c r="M963" s="3"/>
      <c r="Q963" s="3"/>
      <c r="R963" s="3"/>
      <c r="S963" s="3"/>
      <c r="T963" s="3"/>
      <c r="U963" s="3"/>
      <c r="V963" s="3"/>
    </row>
    <row r="964" ht="15.75" customHeight="1">
      <c r="I964" s="3"/>
      <c r="J964" s="3"/>
      <c r="K964" s="3"/>
      <c r="L964" s="3"/>
      <c r="M964" s="3"/>
      <c r="Q964" s="3"/>
      <c r="R964" s="3"/>
      <c r="S964" s="3"/>
      <c r="T964" s="3"/>
      <c r="U964" s="3"/>
      <c r="V964" s="3"/>
    </row>
    <row r="965" ht="15.75" customHeight="1">
      <c r="I965" s="3"/>
      <c r="J965" s="3"/>
      <c r="K965" s="3"/>
      <c r="L965" s="3"/>
      <c r="M965" s="3"/>
      <c r="Q965" s="3"/>
      <c r="R965" s="3"/>
      <c r="S965" s="3"/>
      <c r="T965" s="3"/>
      <c r="U965" s="3"/>
      <c r="V965" s="3"/>
    </row>
    <row r="966" ht="15.75" customHeight="1">
      <c r="K966" s="3"/>
      <c r="L966" s="3"/>
      <c r="M966" s="3"/>
      <c r="Q966" s="3"/>
      <c r="R966" s="3"/>
      <c r="S966" s="3"/>
      <c r="T966" s="3"/>
      <c r="U966" s="3"/>
      <c r="V966" s="3"/>
    </row>
    <row r="967" ht="15.75" customHeight="1">
      <c r="R967" s="3"/>
      <c r="S967" s="3"/>
      <c r="T967" s="3"/>
      <c r="U967" s="3"/>
      <c r="V967" s="3"/>
    </row>
    <row r="968" ht="15.75" customHeight="1">
      <c r="R968" s="3"/>
      <c r="S968" s="3"/>
      <c r="T968" s="3"/>
      <c r="U968" s="3"/>
      <c r="V968" s="3"/>
    </row>
    <row r="969" ht="15.75" customHeight="1">
      <c r="R969" s="3"/>
      <c r="S969" s="3"/>
      <c r="T969" s="3"/>
      <c r="U969" s="3"/>
      <c r="V969" s="3"/>
    </row>
    <row r="970" ht="15.75" customHeight="1">
      <c r="R970" s="3"/>
      <c r="S970" s="3"/>
      <c r="T970" s="3"/>
      <c r="U970" s="3"/>
      <c r="V970" s="3"/>
    </row>
    <row r="971" ht="15.75" customHeight="1">
      <c r="R971" s="3"/>
      <c r="S971" s="3"/>
      <c r="T971" s="3"/>
      <c r="U971" s="3"/>
      <c r="V971" s="3"/>
    </row>
    <row r="972" ht="15.75" customHeight="1">
      <c r="R972" s="3"/>
      <c r="S972" s="3"/>
      <c r="T972" s="3"/>
      <c r="U972" s="3"/>
      <c r="V972" s="3"/>
    </row>
    <row r="973" ht="15.75" customHeight="1">
      <c r="R973" s="3"/>
      <c r="S973" s="3"/>
      <c r="T973" s="3"/>
      <c r="U973" s="3"/>
      <c r="V973" s="3"/>
    </row>
    <row r="974" ht="15.75" customHeight="1">
      <c r="R974" s="3"/>
      <c r="S974" s="3"/>
      <c r="T974" s="3"/>
      <c r="U974" s="3"/>
      <c r="V974" s="3"/>
    </row>
    <row r="975" ht="15.75" customHeight="1">
      <c r="R975" s="3"/>
      <c r="S975" s="3"/>
      <c r="T975" s="3"/>
      <c r="U975" s="3"/>
      <c r="V975" s="3"/>
    </row>
    <row r="976" ht="15.75" customHeight="1">
      <c r="R976" s="3"/>
      <c r="S976" s="3"/>
      <c r="T976" s="3"/>
      <c r="U976" s="3"/>
      <c r="V976" s="3"/>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
    <mergeCell ref="B12:J12"/>
    <mergeCell ref="B23:J23"/>
    <mergeCell ref="B34:J34"/>
    <mergeCell ref="B45:H45"/>
    <mergeCell ref="K45:Q45"/>
    <mergeCell ref="S45:Y45"/>
    <mergeCell ref="AA45:AG45"/>
  </mergeCells>
  <conditionalFormatting sqref="C14:J21 C25:J32 C36:J43">
    <cfRule type="colorScale" priority="1">
      <colorScale>
        <cfvo type="min"/>
        <cfvo type="formula" val="3.5"/>
        <cfvo type="max"/>
        <color rgb="FF57BB8A"/>
        <color rgb="FFFFD666"/>
        <color rgb="FFE67C73"/>
      </colorScale>
    </cfRule>
  </conditionalFormatting>
  <conditionalFormatting sqref="B47:H1004">
    <cfRule type="expression" dxfId="1" priority="2">
      <formula>$C47=$B$3</formula>
    </cfRule>
  </conditionalFormatting>
  <conditionalFormatting sqref="B47:H1004">
    <cfRule type="expression" dxfId="2" priority="3">
      <formula>$C47=$B$4</formula>
    </cfRule>
  </conditionalFormatting>
  <conditionalFormatting sqref="B47:H1004">
    <cfRule type="expression" dxfId="3" priority="4">
      <formula>$C47=$B$5</formula>
    </cfRule>
  </conditionalFormatting>
  <conditionalFormatting sqref="B47:H1004">
    <cfRule type="expression" dxfId="4" priority="5">
      <formula>$C47=$B$6</formula>
    </cfRule>
  </conditionalFormatting>
  <conditionalFormatting sqref="B47:H1004">
    <cfRule type="expression" dxfId="5" priority="6">
      <formula>$C47=$B$7</formula>
    </cfRule>
  </conditionalFormatting>
  <conditionalFormatting sqref="B47:H1004">
    <cfRule type="expression" dxfId="6" priority="7">
      <formula>$C47=$B$8</formula>
    </cfRule>
  </conditionalFormatting>
  <conditionalFormatting sqref="B47:H1004">
    <cfRule type="expression" dxfId="7" priority="8">
      <formula>$C47=$B$9</formula>
    </cfRule>
  </conditionalFormatting>
  <conditionalFormatting sqref="K47:Q1004">
    <cfRule type="expression" dxfId="1" priority="9">
      <formula>$L47=$B$3</formula>
    </cfRule>
  </conditionalFormatting>
  <conditionalFormatting sqref="K47:Q1004">
    <cfRule type="expression" dxfId="2" priority="10">
      <formula>$L47=$B$4</formula>
    </cfRule>
  </conditionalFormatting>
  <conditionalFormatting sqref="K47:Q1004">
    <cfRule type="expression" dxfId="3" priority="11">
      <formula>$L47=$B$5</formula>
    </cfRule>
  </conditionalFormatting>
  <conditionalFormatting sqref="K47:Q1004">
    <cfRule type="expression" dxfId="4" priority="12">
      <formula>$L47=$B$6</formula>
    </cfRule>
  </conditionalFormatting>
  <conditionalFormatting sqref="K47:Q1004">
    <cfRule type="expression" dxfId="5" priority="13">
      <formula>$L47=$B$7</formula>
    </cfRule>
  </conditionalFormatting>
  <conditionalFormatting sqref="K47:Q1004">
    <cfRule type="expression" dxfId="6" priority="14">
      <formula>$L47=$B$8</formula>
    </cfRule>
  </conditionalFormatting>
  <conditionalFormatting sqref="K47:Q1004">
    <cfRule type="expression" dxfId="7" priority="15">
      <formula>$L47=$B$9</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Col="1"/>
  <cols>
    <col customWidth="1" min="2" max="2" width="38.57"/>
    <col customWidth="1" min="3" max="3" width="83.0"/>
    <col customWidth="1" min="13" max="13" width="8.71"/>
    <col customWidth="1" min="14" max="14" width="27.57"/>
    <col customWidth="1" min="15" max="15" width="152.86"/>
    <col customWidth="1" min="18" max="18" width="20.57"/>
  </cols>
  <sheetData>
    <row r="1">
      <c r="A1" s="19" t="s">
        <v>10</v>
      </c>
      <c r="B1" s="19" t="s">
        <v>12</v>
      </c>
      <c r="C1" s="24"/>
      <c r="D1" s="26" t="s">
        <v>14</v>
      </c>
      <c r="E1" s="27"/>
      <c r="F1" s="27"/>
      <c r="G1" s="27"/>
      <c r="H1" s="27"/>
      <c r="I1" s="27"/>
      <c r="J1" s="24"/>
      <c r="K1" s="28" t="s">
        <v>15</v>
      </c>
      <c r="M1" s="29" t="s">
        <v>16</v>
      </c>
      <c r="N1" s="31" t="s">
        <v>17</v>
      </c>
      <c r="O1" s="32"/>
      <c r="P1" s="33" t="s">
        <v>18</v>
      </c>
      <c r="Q1" s="33" t="s">
        <v>19</v>
      </c>
      <c r="R1" s="33" t="s">
        <v>20</v>
      </c>
      <c r="S1" s="33" t="s">
        <v>21</v>
      </c>
    </row>
    <row r="2">
      <c r="A2" s="34" t="s">
        <v>22</v>
      </c>
      <c r="B2" s="34" t="s">
        <v>23</v>
      </c>
      <c r="C2" s="35" t="s">
        <v>24</v>
      </c>
      <c r="D2" s="36" t="s">
        <v>25</v>
      </c>
      <c r="E2" s="36" t="s">
        <v>26</v>
      </c>
      <c r="F2" s="36" t="s">
        <v>27</v>
      </c>
      <c r="G2" s="36" t="s">
        <v>28</v>
      </c>
      <c r="H2" s="36" t="s">
        <v>29</v>
      </c>
      <c r="I2" s="36" t="s">
        <v>30</v>
      </c>
      <c r="J2" s="36" t="s">
        <v>31</v>
      </c>
      <c r="K2" s="37"/>
      <c r="M2" s="38" t="str">
        <f>IFERROR(__xludf.DUMMYFUNCTION("FILTER($A:$C,$K:$K = ""Passed"")"),"Logan")</f>
        <v>Logan</v>
      </c>
      <c r="N2" s="38" t="str">
        <f>IFERROR(__xludf.DUMMYFUNCTION("""COMPUTED_VALUE"""),"Bad Bitch Era")</f>
        <v>Bad Bitch Era</v>
      </c>
      <c r="O2" s="39" t="str">
        <f>IFERROR(__xludf.DUMMYFUNCTION("""COMPUTED_VALUE"""),"A song that makes you feel like a bad bitch")</f>
        <v>A song that makes you feel like a bad bitch</v>
      </c>
      <c r="P2" s="40" t="s">
        <v>33</v>
      </c>
      <c r="Q2" s="41">
        <v>46101.0</v>
      </c>
      <c r="R2" s="40" t="s">
        <v>35</v>
      </c>
      <c r="S2" s="40" t="s">
        <v>28</v>
      </c>
    </row>
    <row r="3">
      <c r="A3" s="40" t="s">
        <v>25</v>
      </c>
      <c r="B3" s="40" t="s">
        <v>37</v>
      </c>
      <c r="C3" s="43" t="s">
        <v>38</v>
      </c>
      <c r="D3" s="38"/>
      <c r="E3" s="40" t="s">
        <v>39</v>
      </c>
      <c r="F3" s="40" t="s">
        <v>39</v>
      </c>
      <c r="G3" s="40" t="s">
        <v>39</v>
      </c>
      <c r="H3" s="40" t="s">
        <v>39</v>
      </c>
      <c r="I3" s="40" t="s">
        <v>39</v>
      </c>
      <c r="J3" s="38"/>
      <c r="K3" s="37" t="str">
        <f t="shared" ref="K3:K64" si="1">IF(COUNTIF(D3:J3, "Opposed") &gt;=3,"Failed", IF(COUNTIF(D3:J3, "In Favor") &gt;=4, "Passed", ""))</f>
        <v>Passed</v>
      </c>
      <c r="M3" s="38" t="str">
        <f>IFERROR(__xludf.DUMMYFUNCTION("""COMPUTED_VALUE"""),"Parker")</f>
        <v>Parker</v>
      </c>
      <c r="N3" s="38" t="str">
        <f>IFERROR(__xludf.DUMMYFUNCTION("""COMPUTED_VALUE"""),"Murdered/Murdered Someone")</f>
        <v>Murdered/Murdered Someone</v>
      </c>
      <c r="O3" s="39"/>
      <c r="P3" s="40" t="s">
        <v>33</v>
      </c>
      <c r="Q3" s="41">
        <v>46115.0</v>
      </c>
      <c r="R3" s="40" t="s">
        <v>40</v>
      </c>
      <c r="S3" s="40" t="s">
        <v>26</v>
      </c>
    </row>
    <row r="4">
      <c r="A4" s="49" t="s">
        <v>26</v>
      </c>
      <c r="B4" s="49" t="s">
        <v>42</v>
      </c>
      <c r="C4" s="50"/>
      <c r="D4" s="52" t="s">
        <v>39</v>
      </c>
      <c r="E4" s="49"/>
      <c r="F4" s="49" t="s">
        <v>39</v>
      </c>
      <c r="G4" s="49" t="s">
        <v>39</v>
      </c>
      <c r="H4" s="37" t="s">
        <v>39</v>
      </c>
      <c r="I4" s="49" t="s">
        <v>39</v>
      </c>
      <c r="J4" s="37"/>
      <c r="K4" s="37" t="str">
        <f t="shared" si="1"/>
        <v>Passed</v>
      </c>
      <c r="M4" s="38" t="str">
        <f>IFERROR(__xludf.DUMMYFUNCTION("""COMPUTED_VALUE"""),"Giacomo")</f>
        <v>Giacomo</v>
      </c>
      <c r="N4" s="38" t="str">
        <f>IFERROR(__xludf.DUMMYFUNCTION("""COMPUTED_VALUE"""),"Bechdel Test")</f>
        <v>Bechdel Test</v>
      </c>
      <c r="O4" s="39" t="str">
        <f>IFERROR(__xludf.DUMMYFUNCTION("""COMPUTED_VALUE"""),"Has to pass it")</f>
        <v>Has to pass it</v>
      </c>
      <c r="P4" s="40" t="s">
        <v>33</v>
      </c>
      <c r="Q4" s="41">
        <v>45933.0</v>
      </c>
      <c r="R4" s="40" t="s">
        <v>45</v>
      </c>
      <c r="S4" s="40" t="s">
        <v>28</v>
      </c>
    </row>
    <row r="5">
      <c r="A5" s="40" t="s">
        <v>27</v>
      </c>
      <c r="B5" s="40" t="s">
        <v>47</v>
      </c>
      <c r="C5" s="43" t="s">
        <v>48</v>
      </c>
      <c r="D5" s="40" t="s">
        <v>39</v>
      </c>
      <c r="E5" s="40" t="s">
        <v>39</v>
      </c>
      <c r="F5" s="40" t="s">
        <v>39</v>
      </c>
      <c r="G5" s="40" t="s">
        <v>39</v>
      </c>
      <c r="H5" s="40" t="s">
        <v>39</v>
      </c>
      <c r="I5" s="40" t="s">
        <v>39</v>
      </c>
      <c r="J5" s="40" t="s">
        <v>39</v>
      </c>
      <c r="K5" s="37" t="str">
        <f t="shared" si="1"/>
        <v>Passed</v>
      </c>
      <c r="M5" s="38" t="str">
        <f>IFERROR(__xludf.DUMMYFUNCTION("""COMPUTED_VALUE"""),"Rosey")</f>
        <v>Rosey</v>
      </c>
      <c r="N5" s="38" t="str">
        <f>IFERROR(__xludf.DUMMYFUNCTION("""COMPUTED_VALUE"""),"Sad Boy Hours")</f>
        <v>Sad Boy Hours</v>
      </c>
      <c r="O5" s="39"/>
      <c r="P5" s="40" t="s">
        <v>33</v>
      </c>
      <c r="Q5" s="41">
        <v>46073.0</v>
      </c>
      <c r="R5" s="40" t="s">
        <v>53</v>
      </c>
      <c r="S5" s="40" t="s">
        <v>26</v>
      </c>
    </row>
    <row r="6">
      <c r="A6" s="52" t="s">
        <v>28</v>
      </c>
      <c r="B6" s="52" t="s">
        <v>54</v>
      </c>
      <c r="C6" s="67"/>
      <c r="D6" s="52" t="s">
        <v>39</v>
      </c>
      <c r="E6" s="52" t="s">
        <v>39</v>
      </c>
      <c r="F6" s="52" t="s">
        <v>39</v>
      </c>
      <c r="G6" s="69"/>
      <c r="H6" s="52" t="s">
        <v>39</v>
      </c>
      <c r="I6" s="52" t="s">
        <v>39</v>
      </c>
      <c r="J6" s="69"/>
      <c r="K6" s="37" t="str">
        <f t="shared" si="1"/>
        <v>Passed</v>
      </c>
      <c r="M6" s="38" t="str">
        <f>IFERROR(__xludf.DUMMYFUNCTION("""COMPUTED_VALUE"""),"TTAC")</f>
        <v>TTAC</v>
      </c>
      <c r="N6" s="38" t="str">
        <f>IFERROR(__xludf.DUMMYFUNCTION("""COMPUTED_VALUE"""),"Music Videos")</f>
        <v>Music Videos</v>
      </c>
      <c r="O6" s="39" t="str">
        <f>IFERROR(__xludf.DUMMYFUNCTION("""COMPUTED_VALUE"""),"The music vid can take apart as the score or as separate, but it has to atleast be a song where the video adds to the experience or is iconic in one way or another ")</f>
        <v>The music vid can take apart as the score or as separate, but it has to atleast be a song where the video adds to the experience or is iconic in one way or another </v>
      </c>
      <c r="P6" s="38"/>
      <c r="Q6" s="38"/>
      <c r="R6" s="38"/>
      <c r="S6" s="38"/>
    </row>
    <row r="7">
      <c r="A7" s="40" t="s">
        <v>29</v>
      </c>
      <c r="B7" s="40" t="s">
        <v>61</v>
      </c>
      <c r="C7" s="43" t="s">
        <v>69</v>
      </c>
      <c r="D7" s="40" t="s">
        <v>39</v>
      </c>
      <c r="E7" s="40" t="s">
        <v>39</v>
      </c>
      <c r="F7" s="40" t="s">
        <v>39</v>
      </c>
      <c r="G7" s="40" t="s">
        <v>39</v>
      </c>
      <c r="H7" s="38"/>
      <c r="I7" s="40" t="s">
        <v>39</v>
      </c>
      <c r="J7" s="38"/>
      <c r="K7" s="37" t="str">
        <f t="shared" si="1"/>
        <v>Passed</v>
      </c>
      <c r="M7" s="38" t="str">
        <f>IFERROR(__xludf.DUMMYFUNCTION("""COMPUTED_VALUE"""),"Weston")</f>
        <v>Weston</v>
      </c>
      <c r="N7" s="38" t="str">
        <f>IFERROR(__xludf.DUMMYFUNCTION("""COMPUTED_VALUE"""),"Quickscope montage")</f>
        <v>Quickscope montage</v>
      </c>
      <c r="O7" s="39" t="str">
        <f>IFERROR(__xludf.DUMMYFUNCTION("""COMPUTED_VALUE"""),"Any song from a cod/cs/val edit")</f>
        <v>Any song from a cod/cs/val edit</v>
      </c>
      <c r="P7" s="38"/>
      <c r="Q7" s="38"/>
      <c r="R7" s="38"/>
      <c r="S7" s="38"/>
    </row>
    <row r="8">
      <c r="A8" s="40" t="s">
        <v>30</v>
      </c>
      <c r="B8" s="40" t="s">
        <v>72</v>
      </c>
      <c r="C8" s="43" t="s">
        <v>73</v>
      </c>
      <c r="D8" s="40" t="s">
        <v>39</v>
      </c>
      <c r="E8" s="40" t="s">
        <v>39</v>
      </c>
      <c r="F8" s="40" t="s">
        <v>74</v>
      </c>
      <c r="G8" s="40" t="s">
        <v>39</v>
      </c>
      <c r="H8" s="40" t="s">
        <v>39</v>
      </c>
      <c r="I8" s="38"/>
      <c r="J8" s="40" t="s">
        <v>74</v>
      </c>
      <c r="K8" s="37" t="str">
        <f t="shared" si="1"/>
        <v>Passed</v>
      </c>
      <c r="M8" s="38" t="str">
        <f>IFERROR(__xludf.DUMMYFUNCTION("""COMPUTED_VALUE"""),"Jake")</f>
        <v>Jake</v>
      </c>
      <c r="N8" s="38" t="str">
        <f>IFERROR(__xludf.DUMMYFUNCTION("""COMPUTED_VALUE"""),"Famous Song in a Movie")</f>
        <v>Famous Song in a Movie</v>
      </c>
      <c r="O8" s="39"/>
      <c r="P8" s="40" t="s">
        <v>33</v>
      </c>
      <c r="Q8" s="41">
        <v>46059.0</v>
      </c>
      <c r="R8" s="40" t="s">
        <v>77</v>
      </c>
      <c r="S8" s="40" t="s">
        <v>30</v>
      </c>
    </row>
    <row r="9">
      <c r="A9" s="52" t="s">
        <v>44</v>
      </c>
      <c r="B9" s="52" t="s">
        <v>80</v>
      </c>
      <c r="C9" s="67"/>
      <c r="D9" s="52" t="s">
        <v>39</v>
      </c>
      <c r="E9" s="52" t="s">
        <v>39</v>
      </c>
      <c r="F9" s="52" t="s">
        <v>74</v>
      </c>
      <c r="G9" s="52" t="s">
        <v>39</v>
      </c>
      <c r="H9" s="52" t="s">
        <v>39</v>
      </c>
      <c r="I9" s="52" t="s">
        <v>39</v>
      </c>
      <c r="J9" s="52" t="s">
        <v>39</v>
      </c>
      <c r="K9" s="37" t="str">
        <f t="shared" si="1"/>
        <v>Passed</v>
      </c>
      <c r="M9" s="38" t="str">
        <f>IFERROR(__xludf.DUMMYFUNCTION("""COMPUTED_VALUE"""),"Giacomo")</f>
        <v>Giacomo</v>
      </c>
      <c r="N9" s="38" t="str">
        <f>IFERROR(__xludf.DUMMYFUNCTION("""COMPUTED_VALUE"""),"Horny")</f>
        <v>Horny</v>
      </c>
      <c r="O9" s="39" t="str">
        <f>IFERROR(__xludf.DUMMYFUNCTION("""COMPUTED_VALUE"""),"Some freaky ahh shit that gon make you act up")</f>
        <v>Some freaky ahh shit that gon make you act up</v>
      </c>
      <c r="P9" s="38"/>
      <c r="Q9" s="38"/>
      <c r="R9" s="38"/>
      <c r="S9" s="38"/>
    </row>
    <row r="10">
      <c r="A10" s="52" t="s">
        <v>25</v>
      </c>
      <c r="B10" s="52" t="s">
        <v>83</v>
      </c>
      <c r="C10" s="96" t="s">
        <v>84</v>
      </c>
      <c r="D10" s="69"/>
      <c r="E10" s="52" t="s">
        <v>74</v>
      </c>
      <c r="F10" s="52" t="s">
        <v>74</v>
      </c>
      <c r="G10" s="52" t="s">
        <v>74</v>
      </c>
      <c r="H10" s="52" t="s">
        <v>39</v>
      </c>
      <c r="I10" s="52" t="s">
        <v>39</v>
      </c>
      <c r="J10" s="52" t="s">
        <v>39</v>
      </c>
      <c r="K10" s="37" t="str">
        <f t="shared" si="1"/>
        <v>Failed</v>
      </c>
      <c r="M10" s="38" t="str">
        <f>IFERROR(__xludf.DUMMYFUNCTION("""COMPUTED_VALUE"""),"Rosey")</f>
        <v>Rosey</v>
      </c>
      <c r="N10" s="38" t="str">
        <f>IFERROR(__xludf.DUMMYFUNCTION("""COMPUTED_VALUE"""),"XXL Freshman")</f>
        <v>XXL Freshman</v>
      </c>
      <c r="O10" s="39"/>
      <c r="P10" s="40" t="s">
        <v>33</v>
      </c>
      <c r="Q10" s="105">
        <v>46003.0</v>
      </c>
      <c r="R10" s="40" t="s">
        <v>90</v>
      </c>
      <c r="S10" s="40" t="s">
        <v>28</v>
      </c>
    </row>
    <row r="11">
      <c r="A11" s="52" t="s">
        <v>27</v>
      </c>
      <c r="B11" s="106" t="s">
        <v>91</v>
      </c>
      <c r="C11" s="96" t="s">
        <v>92</v>
      </c>
      <c r="D11" s="52" t="s">
        <v>39</v>
      </c>
      <c r="E11" s="52" t="s">
        <v>39</v>
      </c>
      <c r="F11" s="52"/>
      <c r="G11" s="52"/>
      <c r="H11" s="52" t="s">
        <v>39</v>
      </c>
      <c r="I11" s="52" t="s">
        <v>39</v>
      </c>
      <c r="J11" s="52" t="s">
        <v>39</v>
      </c>
      <c r="K11" s="37" t="str">
        <f t="shared" si="1"/>
        <v>Passed</v>
      </c>
      <c r="M11" s="38" t="str">
        <f>IFERROR(__xludf.DUMMYFUNCTION("""COMPUTED_VALUE"""),"TTAC")</f>
        <v>TTAC</v>
      </c>
      <c r="N11" s="38" t="str">
        <f>IFERROR(__xludf.DUMMYFUNCTION("""COMPUTED_VALUE"""),"X-Mas Songs")</f>
        <v>X-Mas Songs</v>
      </c>
      <c r="O11" s="39" t="str">
        <f>IFERROR(__xludf.DUMMYFUNCTION("""COMPUTED_VALUE"""),"Sometime in DEC")</f>
        <v>Sometime in DEC</v>
      </c>
      <c r="P11" s="40" t="s">
        <v>33</v>
      </c>
      <c r="Q11" s="105">
        <v>46015.0</v>
      </c>
      <c r="R11" s="40" t="s">
        <v>93</v>
      </c>
      <c r="S11" s="40" t="s">
        <v>28</v>
      </c>
    </row>
    <row r="12">
      <c r="A12" s="40" t="s">
        <v>28</v>
      </c>
      <c r="B12" s="40" t="s">
        <v>94</v>
      </c>
      <c r="C12" s="43"/>
      <c r="D12" s="40" t="s">
        <v>39</v>
      </c>
      <c r="E12" s="40" t="s">
        <v>39</v>
      </c>
      <c r="F12" s="40" t="s">
        <v>39</v>
      </c>
      <c r="G12" s="40"/>
      <c r="H12" s="52" t="s">
        <v>39</v>
      </c>
      <c r="I12" s="40" t="s">
        <v>39</v>
      </c>
      <c r="J12" s="40" t="s">
        <v>39</v>
      </c>
      <c r="K12" s="37" t="str">
        <f t="shared" si="1"/>
        <v>Passed</v>
      </c>
      <c r="M12" s="38" t="str">
        <f>IFERROR(__xludf.DUMMYFUNCTION("""COMPUTED_VALUE"""),"Jake")</f>
        <v>Jake</v>
      </c>
      <c r="N12" s="38" t="str">
        <f>IFERROR(__xludf.DUMMYFUNCTION("""COMPUTED_VALUE"""),"Spooky/Scary Songs")</f>
        <v>Spooky/Scary Songs</v>
      </c>
      <c r="O12" s="39"/>
      <c r="P12" s="40" t="s">
        <v>33</v>
      </c>
      <c r="Q12" s="108">
        <v>45961.0</v>
      </c>
      <c r="R12" s="40" t="s">
        <v>95</v>
      </c>
      <c r="S12" s="40" t="s">
        <v>25</v>
      </c>
    </row>
    <row r="13">
      <c r="A13" s="40" t="s">
        <v>29</v>
      </c>
      <c r="B13" s="40" t="s">
        <v>96</v>
      </c>
      <c r="C13" s="43" t="s">
        <v>97</v>
      </c>
      <c r="D13" s="40" t="s">
        <v>39</v>
      </c>
      <c r="E13" s="40" t="s">
        <v>39</v>
      </c>
      <c r="F13" s="40" t="s">
        <v>39</v>
      </c>
      <c r="G13" s="40"/>
      <c r="H13" s="52" t="s">
        <v>39</v>
      </c>
      <c r="I13" s="40" t="s">
        <v>39</v>
      </c>
      <c r="J13" s="40" t="s">
        <v>74</v>
      </c>
      <c r="K13" s="37" t="str">
        <f t="shared" si="1"/>
        <v>Passed</v>
      </c>
      <c r="M13" s="38" t="str">
        <f>IFERROR(__xludf.DUMMYFUNCTION("""COMPUTED_VALUE"""),"Logan")</f>
        <v>Logan</v>
      </c>
      <c r="N13" s="38" t="str">
        <f>IFERROR(__xludf.DUMMYFUNCTION("""COMPUTED_VALUE"""),"Receiptify Top Artist")</f>
        <v>Receiptify Top Artist</v>
      </c>
      <c r="O13" s="39" t="str">
        <f>IFERROR(__xludf.DUMMYFUNCTION("""COMPUTED_VALUE"""),"https://receiptify.herokuapp.com - Use this link to see your Top Artist at the time - 6 Months")</f>
        <v>https://receiptify.herokuapp.com - Use this link to see your Top Artist at the time - 6 Months</v>
      </c>
      <c r="P13" s="40"/>
      <c r="Q13" s="108"/>
      <c r="R13" s="40"/>
      <c r="S13" s="40"/>
    </row>
    <row r="14">
      <c r="A14" s="52" t="s">
        <v>30</v>
      </c>
      <c r="B14" s="52" t="s">
        <v>98</v>
      </c>
      <c r="C14" s="96" t="s">
        <v>99</v>
      </c>
      <c r="D14" s="52" t="s">
        <v>39</v>
      </c>
      <c r="E14" s="52" t="s">
        <v>74</v>
      </c>
      <c r="F14" s="52" t="s">
        <v>74</v>
      </c>
      <c r="G14" s="52" t="s">
        <v>74</v>
      </c>
      <c r="H14" s="52" t="s">
        <v>39</v>
      </c>
      <c r="I14" s="69"/>
      <c r="J14" s="52" t="s">
        <v>39</v>
      </c>
      <c r="K14" s="37" t="str">
        <f t="shared" si="1"/>
        <v>Failed</v>
      </c>
      <c r="M14" s="38" t="str">
        <f>IFERROR(__xludf.DUMMYFUNCTION("""COMPUTED_VALUE"""),"Giacomo")</f>
        <v>Giacomo</v>
      </c>
      <c r="N14" s="38" t="str">
        <f>IFERROR(__xludf.DUMMYFUNCTION("""COMPUTED_VALUE"""),"Wrapped Song")</f>
        <v>Wrapped Song</v>
      </c>
      <c r="O14" s="39" t="str">
        <f>IFERROR(__xludf.DUMMYFUNCTION("""COMPUTED_VALUE"""),"Pick a top 5 song from any of your wrapped")</f>
        <v>Pick a top 5 song from any of your wrapped</v>
      </c>
      <c r="P14" s="38"/>
      <c r="Q14" s="38"/>
      <c r="R14" s="38"/>
      <c r="S14" s="38"/>
    </row>
    <row r="15">
      <c r="A15" s="40" t="s">
        <v>44</v>
      </c>
      <c r="B15" s="40" t="s">
        <v>100</v>
      </c>
      <c r="C15" s="114"/>
      <c r="D15" s="40" t="s">
        <v>39</v>
      </c>
      <c r="E15" s="40" t="s">
        <v>39</v>
      </c>
      <c r="F15" s="40" t="s">
        <v>39</v>
      </c>
      <c r="G15" s="40" t="s">
        <v>39</v>
      </c>
      <c r="H15" s="52" t="s">
        <v>39</v>
      </c>
      <c r="I15" s="40" t="s">
        <v>39</v>
      </c>
      <c r="J15" s="38"/>
      <c r="K15" s="37" t="str">
        <f t="shared" si="1"/>
        <v>Passed</v>
      </c>
      <c r="M15" s="38" t="str">
        <f>IFERROR(__xludf.DUMMYFUNCTION("""COMPUTED_VALUE"""),"TTAC")</f>
        <v>TTAC</v>
      </c>
      <c r="N15" s="38" t="str">
        <f>IFERROR(__xludf.DUMMYFUNCTION("""COMPUTED_VALUE"""),"Video Game OST")</f>
        <v>Video Game OST</v>
      </c>
      <c r="O15" s="39"/>
      <c r="P15" s="40" t="s">
        <v>33</v>
      </c>
      <c r="Q15" s="41">
        <v>45947.0</v>
      </c>
      <c r="R15" s="40" t="s">
        <v>101</v>
      </c>
      <c r="S15" s="40" t="s">
        <v>26</v>
      </c>
    </row>
    <row r="16">
      <c r="A16" s="40" t="s">
        <v>25</v>
      </c>
      <c r="B16" s="40" t="s">
        <v>102</v>
      </c>
      <c r="C16" s="123" t="s">
        <v>103</v>
      </c>
      <c r="D16" s="38"/>
      <c r="E16" s="40" t="s">
        <v>39</v>
      </c>
      <c r="F16" s="40" t="s">
        <v>74</v>
      </c>
      <c r="G16" s="40" t="s">
        <v>39</v>
      </c>
      <c r="H16" s="52" t="s">
        <v>39</v>
      </c>
      <c r="I16" s="40" t="s">
        <v>39</v>
      </c>
      <c r="J16" s="38"/>
      <c r="K16" s="37" t="str">
        <f t="shared" si="1"/>
        <v>Passed</v>
      </c>
      <c r="M16" s="38" t="str">
        <f>IFERROR(__xludf.DUMMYFUNCTION("""COMPUTED_VALUE"""),"Weston")</f>
        <v>Weston</v>
      </c>
      <c r="N16" s="38" t="str">
        <f>IFERROR(__xludf.DUMMYFUNCTION("""COMPUTED_VALUE"""),"Haters")</f>
        <v>Haters</v>
      </c>
      <c r="O16" s="39" t="str">
        <f>IFERROR(__xludf.DUMMYFUNCTION("""COMPUTED_VALUE"""),"Diss tracks or songs that were made to spite someone/something")</f>
        <v>Diss tracks or songs that were made to spite someone/something</v>
      </c>
      <c r="P16" s="40" t="s">
        <v>33</v>
      </c>
      <c r="Q16" s="125">
        <v>45975.0</v>
      </c>
      <c r="R16" s="40" t="s">
        <v>106</v>
      </c>
      <c r="S16" s="40" t="s">
        <v>25</v>
      </c>
    </row>
    <row r="17">
      <c r="A17" s="40" t="s">
        <v>27</v>
      </c>
      <c r="B17" s="40" t="s">
        <v>107</v>
      </c>
      <c r="C17" s="43" t="s">
        <v>108</v>
      </c>
      <c r="D17" s="40" t="s">
        <v>39</v>
      </c>
      <c r="E17" s="40" t="s">
        <v>39</v>
      </c>
      <c r="F17" s="38"/>
      <c r="G17" s="40" t="s">
        <v>39</v>
      </c>
      <c r="H17" s="52" t="s">
        <v>39</v>
      </c>
      <c r="I17" s="40" t="s">
        <v>39</v>
      </c>
      <c r="J17" s="38"/>
      <c r="K17" s="37" t="str">
        <f t="shared" si="1"/>
        <v>Passed</v>
      </c>
      <c r="M17" s="38" t="str">
        <f>IFERROR(__xludf.DUMMYFUNCTION("""COMPUTED_VALUE"""),"Jake")</f>
        <v>Jake</v>
      </c>
      <c r="N17" s="38" t="str">
        <f>IFERROR(__xludf.DUMMYFUNCTION("""COMPUTED_VALUE"""),"Secret Missions")</f>
        <v>Secret Missions</v>
      </c>
      <c r="O17" s="39" t="str">
        <f>IFERROR(__xludf.DUMMYFUNCTION("""COMPUTED_VALUE"""),"Each person is assigned another theme at random and in secret and you have to pick a song for your secret theme. People can also guess at what other peoples secret theme was. ")</f>
        <v>Each person is assigned another theme at random and in secret and you have to pick a song for your secret theme. People can also guess at what other peoples secret theme was. </v>
      </c>
      <c r="P17" s="40"/>
      <c r="Q17" s="105"/>
      <c r="R17" s="38"/>
      <c r="S17" s="38"/>
    </row>
    <row r="18">
      <c r="A18" s="52" t="s">
        <v>29</v>
      </c>
      <c r="B18" s="131" t="s">
        <v>109</v>
      </c>
      <c r="C18" s="67"/>
      <c r="D18" s="52" t="s">
        <v>39</v>
      </c>
      <c r="E18" s="52" t="s">
        <v>39</v>
      </c>
      <c r="F18" s="52" t="s">
        <v>74</v>
      </c>
      <c r="G18" s="52" t="s">
        <v>39</v>
      </c>
      <c r="H18" s="52" t="s">
        <v>39</v>
      </c>
      <c r="I18" s="52" t="s">
        <v>39</v>
      </c>
      <c r="J18" s="52" t="s">
        <v>39</v>
      </c>
      <c r="K18" s="37" t="str">
        <f t="shared" si="1"/>
        <v>Passed</v>
      </c>
      <c r="M18" s="38" t="str">
        <f>IFERROR(__xludf.DUMMYFUNCTION("""COMPUTED_VALUE"""),"Logan")</f>
        <v>Logan</v>
      </c>
      <c r="N18" s="38" t="str">
        <f>IFERROR(__xludf.DUMMYFUNCTION("""COMPUTED_VALUE"""),"Guilty Pleasure")</f>
        <v>Guilty Pleasure</v>
      </c>
      <c r="O18" s="39" t="str">
        <f>IFERROR(__xludf.DUMMYFUNCTION("""COMPUTED_VALUE"""),"A song you are embaressed to like")</f>
        <v>A song you are embaressed to like</v>
      </c>
      <c r="P18" s="40" t="s">
        <v>33</v>
      </c>
      <c r="Q18" s="41">
        <v>46241.0</v>
      </c>
      <c r="R18" s="40" t="s">
        <v>110</v>
      </c>
      <c r="S18" s="40" t="s">
        <v>26</v>
      </c>
    </row>
    <row r="19">
      <c r="A19" s="40" t="s">
        <v>30</v>
      </c>
      <c r="B19" s="40" t="s">
        <v>111</v>
      </c>
      <c r="C19" s="43" t="s">
        <v>112</v>
      </c>
      <c r="D19" s="40" t="s">
        <v>39</v>
      </c>
      <c r="E19" s="40" t="s">
        <v>39</v>
      </c>
      <c r="F19" s="40" t="s">
        <v>39</v>
      </c>
      <c r="G19" s="38"/>
      <c r="H19" s="52" t="s">
        <v>39</v>
      </c>
      <c r="I19" s="38"/>
      <c r="J19" s="38"/>
      <c r="K19" s="37" t="str">
        <f t="shared" si="1"/>
        <v>Passed</v>
      </c>
      <c r="M19" s="38" t="str">
        <f>IFERROR(__xludf.DUMMYFUNCTION("""COMPUTED_VALUE"""),"Giacomo")</f>
        <v>Giacomo</v>
      </c>
      <c r="N19" s="38" t="str">
        <f>IFERROR(__xludf.DUMMYFUNCTION("""COMPUTED_VALUE"""),"The Ink Master")</f>
        <v>The Ink Master</v>
      </c>
      <c r="O19" s="39" t="str">
        <f>IFERROR(__xludf.DUMMYFUNCTION("""COMPUTED_VALUE"""),"The winner of the flash challenge (last theme) has the power to assign the skulls (genre or topic) in the elimination tattoo (this theme)")</f>
        <v>The winner of the flash challenge (last theme) has the power to assign the skulls (genre or topic) in the elimination tattoo (this theme)</v>
      </c>
      <c r="P19" s="40" t="s">
        <v>33</v>
      </c>
      <c r="Q19" s="41">
        <v>46045.0</v>
      </c>
      <c r="R19" s="40" t="s">
        <v>113</v>
      </c>
      <c r="S19" s="40" t="s">
        <v>28</v>
      </c>
    </row>
    <row r="20">
      <c r="A20" s="40" t="s">
        <v>44</v>
      </c>
      <c r="B20" s="40" t="s">
        <v>114</v>
      </c>
      <c r="C20" s="43" t="s">
        <v>117</v>
      </c>
      <c r="D20" s="40" t="s">
        <v>39</v>
      </c>
      <c r="E20" s="40" t="s">
        <v>39</v>
      </c>
      <c r="F20" s="40" t="s">
        <v>74</v>
      </c>
      <c r="G20" s="38"/>
      <c r="H20" s="52" t="s">
        <v>39</v>
      </c>
      <c r="I20" s="40" t="s">
        <v>39</v>
      </c>
      <c r="J20" s="38"/>
      <c r="K20" s="37" t="str">
        <f t="shared" si="1"/>
        <v>Passed</v>
      </c>
      <c r="M20" s="38" t="str">
        <f>IFERROR(__xludf.DUMMYFUNCTION("""COMPUTED_VALUE"""),"Weston")</f>
        <v>Weston</v>
      </c>
      <c r="N20" s="38" t="str">
        <f>IFERROR(__xludf.DUMMYFUNCTION("""COMPUTED_VALUE"""),"Local")</f>
        <v>Local</v>
      </c>
      <c r="O20" s="39" t="str">
        <f>IFERROR(__xludf.DUMMYFUNCTION("""COMPUTED_VALUE"""),"Any Artist/band from NJ or Philly")</f>
        <v>Any Artist/band from NJ or Philly</v>
      </c>
      <c r="P20" s="40" t="s">
        <v>33</v>
      </c>
      <c r="Q20" s="41">
        <v>45989.0</v>
      </c>
      <c r="R20" s="40" t="s">
        <v>118</v>
      </c>
      <c r="S20" s="40" t="s">
        <v>28</v>
      </c>
    </row>
    <row r="21">
      <c r="A21" s="40" t="s">
        <v>25</v>
      </c>
      <c r="B21" s="40" t="s">
        <v>119</v>
      </c>
      <c r="C21" s="154" t="s">
        <v>120</v>
      </c>
      <c r="D21" s="38"/>
      <c r="E21" s="40" t="s">
        <v>39</v>
      </c>
      <c r="F21" s="40" t="s">
        <v>39</v>
      </c>
      <c r="G21" s="40" t="s">
        <v>39</v>
      </c>
      <c r="H21" s="52" t="s">
        <v>39</v>
      </c>
      <c r="I21" s="40" t="s">
        <v>39</v>
      </c>
      <c r="J21" s="38"/>
      <c r="K21" s="37" t="str">
        <f t="shared" si="1"/>
        <v>Passed</v>
      </c>
      <c r="M21" s="38" t="str">
        <f>IFERROR(__xludf.DUMMYFUNCTION("""COMPUTED_VALUE"""),"Jake")</f>
        <v>Jake</v>
      </c>
      <c r="N21" s="38" t="str">
        <f>IFERROR(__xludf.DUMMYFUNCTION("""COMPUTED_VALUE"""),"Weeb Song")</f>
        <v>Weeb Song</v>
      </c>
      <c r="O21" s="39" t="str">
        <f>IFERROR(__xludf.DUMMYFUNCTION("""COMPUTED_VALUE"""),"A Japanese song, doesn't need to be anime related")</f>
        <v>A Japanese song, doesn't need to be anime related</v>
      </c>
      <c r="P21" s="40" t="s">
        <v>33</v>
      </c>
      <c r="Q21" s="41">
        <v>46255.0</v>
      </c>
      <c r="R21" s="38"/>
      <c r="S21" s="38"/>
    </row>
    <row r="22">
      <c r="A22" s="40" t="s">
        <v>27</v>
      </c>
      <c r="B22" s="40" t="s">
        <v>121</v>
      </c>
      <c r="C22" s="158" t="s">
        <v>122</v>
      </c>
      <c r="D22" s="40" t="s">
        <v>39</v>
      </c>
      <c r="E22" s="40" t="s">
        <v>39</v>
      </c>
      <c r="F22" s="38"/>
      <c r="G22" s="38"/>
      <c r="H22" s="52" t="s">
        <v>39</v>
      </c>
      <c r="I22" s="40" t="s">
        <v>39</v>
      </c>
      <c r="J22" s="38"/>
      <c r="K22" s="37" t="str">
        <f t="shared" si="1"/>
        <v>Passed</v>
      </c>
      <c r="M22" s="38" t="str">
        <f>IFERROR(__xludf.DUMMYFUNCTION("""COMPUTED_VALUE"""),"Logan")</f>
        <v>Logan</v>
      </c>
      <c r="N22" s="38" t="str">
        <f>IFERROR(__xludf.DUMMYFUNCTION("""COMPUTED_VALUE"""),"Instruments only")</f>
        <v>Instruments only</v>
      </c>
      <c r="O22" s="39" t="str">
        <f>IFERROR(__xludf.DUMMYFUNCTION("""COMPUTED_VALUE"""),"No EDM")</f>
        <v>No EDM</v>
      </c>
      <c r="P22" s="40" t="s">
        <v>33</v>
      </c>
      <c r="Q22" s="41">
        <v>46199.0</v>
      </c>
      <c r="R22" s="40" t="s">
        <v>123</v>
      </c>
      <c r="S22" s="40" t="s">
        <v>30</v>
      </c>
    </row>
    <row r="23">
      <c r="A23" s="40" t="s">
        <v>29</v>
      </c>
      <c r="B23" s="40" t="s">
        <v>124</v>
      </c>
      <c r="C23" s="43" t="s">
        <v>125</v>
      </c>
      <c r="D23" s="40" t="s">
        <v>74</v>
      </c>
      <c r="E23" s="40" t="s">
        <v>74</v>
      </c>
      <c r="F23" s="40" t="s">
        <v>39</v>
      </c>
      <c r="G23" s="40" t="s">
        <v>74</v>
      </c>
      <c r="H23" s="52" t="s">
        <v>39</v>
      </c>
      <c r="I23" s="40" t="s">
        <v>74</v>
      </c>
      <c r="J23" s="38"/>
      <c r="K23" s="37" t="str">
        <f t="shared" si="1"/>
        <v>Failed</v>
      </c>
      <c r="M23" s="38" t="str">
        <f>IFERROR(__xludf.DUMMYFUNCTION("""COMPUTED_VALUE"""),"Weston")</f>
        <v>Weston</v>
      </c>
      <c r="N23" s="38" t="str">
        <f>IFERROR(__xludf.DUMMYFUNCTION("""COMPUTED_VALUE"""),"Beat Switch")</f>
        <v>Beat Switch</v>
      </c>
      <c r="O23" s="39" t="str">
        <f>IFERROR(__xludf.DUMMYFUNCTION("""COMPUTED_VALUE"""),"Songs with a beat switch in there")</f>
        <v>Songs with a beat switch in there</v>
      </c>
      <c r="P23" s="40"/>
      <c r="Q23" s="38"/>
      <c r="R23" s="38"/>
      <c r="S23" s="38"/>
    </row>
    <row r="24">
      <c r="A24" s="40" t="s">
        <v>30</v>
      </c>
      <c r="B24" s="40" t="s">
        <v>126</v>
      </c>
      <c r="C24" s="43" t="s">
        <v>127</v>
      </c>
      <c r="D24" s="40" t="s">
        <v>39</v>
      </c>
      <c r="E24" s="40" t="s">
        <v>39</v>
      </c>
      <c r="F24" s="40" t="s">
        <v>39</v>
      </c>
      <c r="G24" s="38"/>
      <c r="H24" s="52" t="s">
        <v>39</v>
      </c>
      <c r="I24" s="38"/>
      <c r="J24" s="38"/>
      <c r="K24" s="37" t="str">
        <f t="shared" si="1"/>
        <v>Passed</v>
      </c>
      <c r="M24" s="38" t="str">
        <f>IFERROR(__xludf.DUMMYFUNCTION("""COMPUTED_VALUE"""),"Jake")</f>
        <v>Jake</v>
      </c>
      <c r="N24" s="38" t="str">
        <f>IFERROR(__xludf.DUMMYFUNCTION("""COMPUTED_VALUE"""),"Songs that make you want to drive 100 mph")</f>
        <v>Songs that make you want to drive 100 mph</v>
      </c>
      <c r="O24" s="39" t="str">
        <f>IFERROR(__xludf.DUMMYFUNCTION("""COMPUTED_VALUE"""),"These are songs that make you wanna go fast!")</f>
        <v>These are songs that make you wanna go fast!</v>
      </c>
      <c r="P24" s="40" t="s">
        <v>33</v>
      </c>
      <c r="Q24" s="41">
        <v>46213.0</v>
      </c>
      <c r="R24" s="40" t="s">
        <v>130</v>
      </c>
      <c r="S24" s="40" t="s">
        <v>25</v>
      </c>
    </row>
    <row r="25">
      <c r="A25" s="40" t="s">
        <v>44</v>
      </c>
      <c r="B25" s="40" t="s">
        <v>131</v>
      </c>
      <c r="C25" s="43" t="s">
        <v>132</v>
      </c>
      <c r="D25" s="40" t="s">
        <v>39</v>
      </c>
      <c r="E25" s="40" t="s">
        <v>74</v>
      </c>
      <c r="F25" s="40" t="s">
        <v>39</v>
      </c>
      <c r="G25" s="40" t="s">
        <v>39</v>
      </c>
      <c r="H25" s="52" t="s">
        <v>39</v>
      </c>
      <c r="I25" s="40" t="s">
        <v>39</v>
      </c>
      <c r="J25" s="38"/>
      <c r="K25" s="37" t="str">
        <f t="shared" si="1"/>
        <v>Passed</v>
      </c>
      <c r="M25" s="38" t="str">
        <f>IFERROR(__xludf.DUMMYFUNCTION("""COMPUTED_VALUE"""),"Logan")</f>
        <v>Logan</v>
      </c>
      <c r="N25" s="38" t="str">
        <f>IFERROR(__xludf.DUMMYFUNCTION("""COMPUTED_VALUE"""),"Hammock Vibes")</f>
        <v>Hammock Vibes</v>
      </c>
      <c r="O25" s="164" t="str">
        <f>IFERROR(__xludf.DUMMYFUNCTION("""COMPUTED_VALUE"""),"Chill vibes of just relaxing")</f>
        <v>Chill vibes of just relaxing</v>
      </c>
      <c r="P25" s="40" t="s">
        <v>33</v>
      </c>
      <c r="Q25" s="165">
        <v>46143.0</v>
      </c>
      <c r="R25" s="40" t="s">
        <v>133</v>
      </c>
      <c r="S25" s="40" t="s">
        <v>85</v>
      </c>
    </row>
    <row r="26">
      <c r="A26" s="40" t="s">
        <v>25</v>
      </c>
      <c r="B26" s="40" t="s">
        <v>134</v>
      </c>
      <c r="C26" s="166" t="s">
        <v>135</v>
      </c>
      <c r="D26" s="38"/>
      <c r="E26" s="40" t="s">
        <v>74</v>
      </c>
      <c r="F26" s="40" t="s">
        <v>74</v>
      </c>
      <c r="G26" s="40" t="s">
        <v>39</v>
      </c>
      <c r="H26" s="52" t="s">
        <v>39</v>
      </c>
      <c r="I26" s="40" t="s">
        <v>39</v>
      </c>
      <c r="J26" s="40" t="s">
        <v>39</v>
      </c>
      <c r="K26" s="37" t="str">
        <f t="shared" si="1"/>
        <v>Passed</v>
      </c>
      <c r="M26" s="38" t="str">
        <f>IFERROR(__xludf.DUMMYFUNCTION("""COMPUTED_VALUE"""),"Parker")</f>
        <v>Parker</v>
      </c>
      <c r="N26" s="38" t="str">
        <f>IFERROR(__xludf.DUMMYFUNCTION("""COMPUTED_VALUE"""),"GeoGuessr")</f>
        <v>GeoGuessr</v>
      </c>
      <c r="O26" s="164" t="str">
        <f>IFERROR(__xludf.DUMMYFUNCTION("""COMPUTED_VALUE"""),"1-2 Games of Geoguessr and whatever countries you get right, artist has to be from/origin")</f>
        <v>1-2 Games of Geoguessr and whatever countries you get right, artist has to be from/origin</v>
      </c>
      <c r="P26" s="40" t="s">
        <v>33</v>
      </c>
      <c r="Q26" s="165">
        <v>46171.0</v>
      </c>
      <c r="R26" s="40" t="s">
        <v>136</v>
      </c>
      <c r="S26" s="40" t="s">
        <v>26</v>
      </c>
    </row>
    <row r="27">
      <c r="A27" s="40" t="s">
        <v>29</v>
      </c>
      <c r="B27" s="40" t="s">
        <v>137</v>
      </c>
      <c r="C27" s="43" t="s">
        <v>138</v>
      </c>
      <c r="D27" s="40" t="s">
        <v>39</v>
      </c>
      <c r="E27" s="40" t="s">
        <v>74</v>
      </c>
      <c r="F27" s="40" t="s">
        <v>74</v>
      </c>
      <c r="G27" s="40" t="s">
        <v>74</v>
      </c>
      <c r="H27" s="52" t="s">
        <v>39</v>
      </c>
      <c r="I27" s="40" t="s">
        <v>39</v>
      </c>
      <c r="J27" s="38"/>
      <c r="K27" s="37" t="str">
        <f t="shared" si="1"/>
        <v>Failed</v>
      </c>
      <c r="M27" s="38" t="str">
        <f>IFERROR(__xludf.DUMMYFUNCTION("""COMPUTED_VALUE"""),"Rosey")</f>
        <v>Rosey</v>
      </c>
      <c r="N27" s="38" t="str">
        <f>IFERROR(__xludf.DUMMYFUNCTION("""COMPUTED_VALUE"""),"Theme Graveyard")</f>
        <v>Theme Graveyard</v>
      </c>
      <c r="O27" s="164" t="str">
        <f>IFERROR(__xludf.DUMMYFUNCTION("""COMPUTED_VALUE"""),"A Theme is randomly selected out of the themes which were already done (Probably best to wait a bit on this one)")</f>
        <v>A Theme is randomly selected out of the themes which were already done (Probably best to wait a bit on this one)</v>
      </c>
      <c r="P27" s="38"/>
      <c r="Q27" s="38"/>
      <c r="R27" s="38"/>
      <c r="S27" s="38"/>
    </row>
    <row r="28">
      <c r="A28" s="40" t="s">
        <v>30</v>
      </c>
      <c r="B28" s="40" t="s">
        <v>139</v>
      </c>
      <c r="C28" s="43" t="s">
        <v>140</v>
      </c>
      <c r="D28" s="40" t="s">
        <v>39</v>
      </c>
      <c r="E28" s="40" t="s">
        <v>39</v>
      </c>
      <c r="F28" s="40" t="s">
        <v>39</v>
      </c>
      <c r="G28" s="38"/>
      <c r="H28" s="52" t="s">
        <v>39</v>
      </c>
      <c r="I28" s="38"/>
      <c r="J28" s="38"/>
      <c r="K28" s="37" t="str">
        <f t="shared" si="1"/>
        <v>Passed</v>
      </c>
      <c r="M28" s="38" t="str">
        <f>IFERROR(__xludf.DUMMYFUNCTION("""COMPUTED_VALUE"""),"Rosey")</f>
        <v>Rosey</v>
      </c>
      <c r="N28" s="38" t="str">
        <f>IFERROR(__xludf.DUMMYFUNCTION("""COMPUTED_VALUE"""),"Good Head Songs")</f>
        <v>Good Head Songs</v>
      </c>
      <c r="O28" s="164" t="str">
        <f>IFERROR(__xludf.DUMMYFUNCTION("""COMPUTED_VALUE"""),"")</f>
        <v/>
      </c>
      <c r="P28" s="40"/>
      <c r="Q28" s="176"/>
      <c r="R28" s="40"/>
      <c r="S28" s="40"/>
      <c r="T28" s="177" t="s">
        <v>141</v>
      </c>
    </row>
    <row r="29">
      <c r="A29" s="40" t="s">
        <v>44</v>
      </c>
      <c r="B29" s="40" t="s">
        <v>142</v>
      </c>
      <c r="C29" s="43" t="s">
        <v>143</v>
      </c>
      <c r="D29" s="40" t="s">
        <v>39</v>
      </c>
      <c r="E29" s="40" t="s">
        <v>74</v>
      </c>
      <c r="F29" s="40" t="s">
        <v>74</v>
      </c>
      <c r="G29" s="40" t="s">
        <v>74</v>
      </c>
      <c r="H29" s="52" t="s">
        <v>39</v>
      </c>
      <c r="I29" s="40" t="s">
        <v>39</v>
      </c>
      <c r="J29" s="38"/>
      <c r="K29" s="37" t="str">
        <f t="shared" si="1"/>
        <v>Failed</v>
      </c>
      <c r="M29" s="38" t="str">
        <f>IFERROR(__xludf.DUMMYFUNCTION("""COMPUTED_VALUE"""),"Jake")</f>
        <v>Jake</v>
      </c>
      <c r="N29" s="38" t="str">
        <f>IFERROR(__xludf.DUMMYFUNCTION("""COMPUTED_VALUE"""),"Summer Songs")</f>
        <v>Summer Songs</v>
      </c>
      <c r="O29" s="164" t="str">
        <f>IFERROR(__xludf.DUMMYFUNCTION("""COMPUTED_VALUE"""),"Songs that remind you of Summer")</f>
        <v>Songs that remind you of Summer</v>
      </c>
      <c r="P29" s="40" t="s">
        <v>33</v>
      </c>
      <c r="Q29" s="176">
        <v>45666.0</v>
      </c>
      <c r="R29" s="40" t="s">
        <v>144</v>
      </c>
      <c r="S29" s="40" t="s">
        <v>28</v>
      </c>
    </row>
    <row r="30">
      <c r="A30" s="40" t="s">
        <v>25</v>
      </c>
      <c r="B30" s="180" t="s">
        <v>145</v>
      </c>
      <c r="C30" s="154" t="s">
        <v>146</v>
      </c>
      <c r="D30" s="38"/>
      <c r="E30" s="40" t="s">
        <v>39</v>
      </c>
      <c r="F30" s="40" t="s">
        <v>74</v>
      </c>
      <c r="G30" s="40" t="s">
        <v>74</v>
      </c>
      <c r="H30" s="52" t="s">
        <v>39</v>
      </c>
      <c r="I30" s="40" t="s">
        <v>74</v>
      </c>
      <c r="J30" s="38"/>
      <c r="K30" s="37" t="str">
        <f t="shared" si="1"/>
        <v>Failed</v>
      </c>
      <c r="M30" s="38" t="str">
        <f>IFERROR(__xludf.DUMMYFUNCTION("""COMPUTED_VALUE"""),"Jake")</f>
        <v>Jake</v>
      </c>
      <c r="N30" s="38" t="str">
        <f>IFERROR(__xludf.DUMMYFUNCTION("""COMPUTED_VALUE"""),"Winter Songs")</f>
        <v>Winter Songs</v>
      </c>
      <c r="O30" s="164" t="str">
        <f>IFERROR(__xludf.DUMMYFUNCTION("""COMPUTED_VALUE"""),"Songs that give you that Winter feeling")</f>
        <v>Songs that give you that Winter feeling</v>
      </c>
      <c r="P30" s="38"/>
      <c r="Q30" s="38"/>
      <c r="R30" s="38"/>
      <c r="S30" s="38"/>
    </row>
    <row r="31">
      <c r="A31" s="40" t="s">
        <v>30</v>
      </c>
      <c r="B31" s="40" t="s">
        <v>149</v>
      </c>
      <c r="C31" s="43" t="s">
        <v>150</v>
      </c>
      <c r="D31" s="40" t="s">
        <v>39</v>
      </c>
      <c r="E31" s="40" t="s">
        <v>74</v>
      </c>
      <c r="F31" s="40" t="s">
        <v>39</v>
      </c>
      <c r="G31" s="40" t="s">
        <v>74</v>
      </c>
      <c r="H31" s="52" t="s">
        <v>39</v>
      </c>
      <c r="I31" s="38"/>
      <c r="J31" s="40" t="s">
        <v>74</v>
      </c>
      <c r="K31" s="37" t="str">
        <f t="shared" si="1"/>
        <v>Failed</v>
      </c>
      <c r="M31" s="38" t="str">
        <f>IFERROR(__xludf.DUMMYFUNCTION("""COMPUTED_VALUE"""),"Jake")</f>
        <v>Jake</v>
      </c>
      <c r="N31" s="38" t="str">
        <f>IFERROR(__xludf.DUMMYFUNCTION("""COMPUTED_VALUE"""),"Bizarre Adventure")</f>
        <v>Bizarre Adventure</v>
      </c>
      <c r="O31" s="164" t="str">
        <f>IFERROR(__xludf.DUMMYFUNCTION("""COMPUTED_VALUE"""),"Songs or Bands must share a name with a Stand, Character or Musical Reference from Jojo's Bizarre Adventure (No Part 8 or 9 References)")</f>
        <v>Songs or Bands must share a name with a Stand, Character or Musical Reference from Jojo's Bizarre Adventure (No Part 8 or 9 References)</v>
      </c>
      <c r="P31" s="38"/>
      <c r="Q31" s="38"/>
      <c r="R31" s="38"/>
      <c r="S31" s="38"/>
    </row>
    <row r="32">
      <c r="A32" s="40" t="s">
        <v>44</v>
      </c>
      <c r="B32" s="40" t="s">
        <v>151</v>
      </c>
      <c r="C32" s="43" t="s">
        <v>152</v>
      </c>
      <c r="D32" s="40" t="s">
        <v>39</v>
      </c>
      <c r="E32" s="40" t="s">
        <v>39</v>
      </c>
      <c r="F32" s="40" t="s">
        <v>39</v>
      </c>
      <c r="G32" s="38"/>
      <c r="H32" s="52" t="s">
        <v>39</v>
      </c>
      <c r="I32" s="40" t="s">
        <v>39</v>
      </c>
      <c r="J32" s="38"/>
      <c r="K32" s="37" t="str">
        <f t="shared" si="1"/>
        <v>Passed</v>
      </c>
      <c r="M32" s="38" t="str">
        <f>IFERROR(__xludf.DUMMYFUNCTION("""COMPUTED_VALUE"""),"Weston")</f>
        <v>Weston</v>
      </c>
      <c r="N32" s="38" t="str">
        <f>IFERROR(__xludf.DUMMYFUNCTION("""COMPUTED_VALUE"""),"Carried")</f>
        <v>Carried</v>
      </c>
      <c r="O32" s="164" t="str">
        <f>IFERROR(__xludf.DUMMYFUNCTION("""COMPUTED_VALUE"""),"Songs where the feature outshines the main artist")</f>
        <v>Songs where the feature outshines the main artist</v>
      </c>
      <c r="P32" s="38"/>
      <c r="Q32" s="38"/>
      <c r="R32" s="38"/>
      <c r="S32" s="38"/>
    </row>
    <row r="33">
      <c r="A33" s="40" t="s">
        <v>25</v>
      </c>
      <c r="B33" s="40" t="s">
        <v>153</v>
      </c>
      <c r="C33" s="154" t="s">
        <v>154</v>
      </c>
      <c r="D33" s="38"/>
      <c r="E33" s="40" t="s">
        <v>39</v>
      </c>
      <c r="F33" s="38"/>
      <c r="G33" s="38"/>
      <c r="H33" s="52" t="s">
        <v>39</v>
      </c>
      <c r="I33" s="40" t="s">
        <v>39</v>
      </c>
      <c r="J33" s="40" t="s">
        <v>39</v>
      </c>
      <c r="K33" s="37" t="str">
        <f t="shared" si="1"/>
        <v>Passed</v>
      </c>
      <c r="M33" s="38" t="str">
        <f>IFERROR(__xludf.DUMMYFUNCTION("""COMPUTED_VALUE"""),"Weston")</f>
        <v>Weston</v>
      </c>
      <c r="N33" s="38" t="str">
        <f>IFERROR(__xludf.DUMMYFUNCTION("""COMPUTED_VALUE"""),"Ayo?")</f>
        <v>Ayo?</v>
      </c>
      <c r="O33" s="114" t="str">
        <f>IFERROR(__xludf.DUMMYFUNCTION("""COMPUTED_VALUE"""),"Songs that are completely normal but have a weird bar thrown in there that makes you go ayo pause")</f>
        <v>Songs that are completely normal but have a weird bar thrown in there that makes you go ayo pause</v>
      </c>
      <c r="P33" s="40"/>
      <c r="R33" s="38"/>
      <c r="S33" s="38"/>
    </row>
    <row r="34">
      <c r="A34" s="40" t="s">
        <v>26</v>
      </c>
      <c r="B34" s="40" t="s">
        <v>155</v>
      </c>
      <c r="C34" s="43" t="s">
        <v>156</v>
      </c>
      <c r="D34" s="40" t="s">
        <v>39</v>
      </c>
      <c r="E34" s="38"/>
      <c r="F34" s="40" t="s">
        <v>39</v>
      </c>
      <c r="G34" s="40" t="s">
        <v>39</v>
      </c>
      <c r="H34" s="52" t="s">
        <v>39</v>
      </c>
      <c r="I34" s="40" t="s">
        <v>39</v>
      </c>
      <c r="J34" s="40" t="s">
        <v>39</v>
      </c>
      <c r="K34" s="37" t="str">
        <f t="shared" si="1"/>
        <v>Passed</v>
      </c>
      <c r="M34" s="38" t="str">
        <f>IFERROR(__xludf.DUMMYFUNCTION("""COMPUTED_VALUE"""),"Giacomo")</f>
        <v>Giacomo</v>
      </c>
      <c r="N34" s="182" t="str">
        <f>IFERROR(__xludf.DUMMYFUNCTION("""COMPUTED_VALUE"""),"Easy Read")</f>
        <v>Easy Read</v>
      </c>
      <c r="O34" s="164" t="str">
        <f>IFERROR(__xludf.DUMMYFUNCTION("""COMPUTED_VALUE"""),"Each person selects someone else, who the song is meant to impress, in secret (same person can be selected multiple times). First criteria for the win is the ranking your target gives the song, the standard group ranking will be the tiebraker.")</f>
        <v>Each person selects someone else, who the song is meant to impress, in secret (same person can be selected multiple times). First criteria for the win is the ranking your target gives the song, the standard group ranking will be the tiebraker.</v>
      </c>
      <c r="P34" s="40" t="s">
        <v>33</v>
      </c>
      <c r="Q34" s="41">
        <v>46227.0</v>
      </c>
      <c r="R34" s="40" t="s">
        <v>161</v>
      </c>
      <c r="S34" s="40" t="s">
        <v>29</v>
      </c>
    </row>
    <row r="35">
      <c r="A35" s="40" t="s">
        <v>28</v>
      </c>
      <c r="B35" s="40" t="s">
        <v>162</v>
      </c>
      <c r="C35" s="43" t="s">
        <v>163</v>
      </c>
      <c r="D35" s="40" t="s">
        <v>39</v>
      </c>
      <c r="E35" s="40" t="s">
        <v>74</v>
      </c>
      <c r="F35" s="40" t="s">
        <v>39</v>
      </c>
      <c r="G35" s="38"/>
      <c r="H35" s="52" t="s">
        <v>39</v>
      </c>
      <c r="I35" s="40" t="s">
        <v>74</v>
      </c>
      <c r="J35" s="40" t="s">
        <v>39</v>
      </c>
      <c r="K35" s="37" t="str">
        <f t="shared" si="1"/>
        <v>Passed</v>
      </c>
      <c r="M35" s="38" t="str">
        <f>IFERROR(__xludf.DUMMYFUNCTION("""COMPUTED_VALUE"""),"Parker")</f>
        <v>Parker</v>
      </c>
      <c r="N35" s="38" t="str">
        <f>IFERROR(__xludf.DUMMYFUNCTION("""COMPUTED_VALUE"""),"Song Thats Named After a Person")</f>
        <v>Song Thats Named After a Person</v>
      </c>
      <c r="O35" s="164"/>
      <c r="P35" s="38"/>
      <c r="Q35" s="38"/>
      <c r="R35" s="38"/>
      <c r="S35" s="38"/>
    </row>
    <row r="36" ht="53.25" customHeight="1">
      <c r="A36" s="40" t="s">
        <v>28</v>
      </c>
      <c r="B36" s="40" t="s">
        <v>164</v>
      </c>
      <c r="C36" s="114"/>
      <c r="D36" s="40" t="s">
        <v>39</v>
      </c>
      <c r="E36" s="40" t="s">
        <v>39</v>
      </c>
      <c r="F36" s="40" t="s">
        <v>39</v>
      </c>
      <c r="G36" s="38"/>
      <c r="H36" s="52" t="s">
        <v>39</v>
      </c>
      <c r="I36" s="40" t="s">
        <v>39</v>
      </c>
      <c r="J36" s="40" t="s">
        <v>39</v>
      </c>
      <c r="K36" s="37" t="str">
        <f t="shared" si="1"/>
        <v>Passed</v>
      </c>
      <c r="M36" s="38" t="str">
        <f>IFERROR(__xludf.DUMMYFUNCTION("""COMPUTED_VALUE"""),"Giacomo")</f>
        <v>Giacomo</v>
      </c>
      <c r="N36" s="38" t="str">
        <f>IFERROR(__xludf.DUMMYFUNCTION("""COMPUTED_VALUE"""),"Mutually Assured Destruction")</f>
        <v>Mutually Assured Destruction</v>
      </c>
      <c r="O36" s="164" t="str">
        <f>IFERROR(__xludf.DUMMYFUNCTION("""COMPUTED_VALUE"""),"Everyone posts a nuke")</f>
        <v>Everyone posts a nuke</v>
      </c>
      <c r="P36" s="40"/>
      <c r="Q36" s="165"/>
      <c r="R36" s="40"/>
      <c r="S36" s="40"/>
    </row>
    <row r="37">
      <c r="A37" s="40" t="s">
        <v>29</v>
      </c>
      <c r="B37" s="40" t="s">
        <v>168</v>
      </c>
      <c r="C37" s="43" t="s">
        <v>169</v>
      </c>
      <c r="D37" s="40" t="s">
        <v>39</v>
      </c>
      <c r="E37" s="40" t="s">
        <v>74</v>
      </c>
      <c r="F37" s="40" t="s">
        <v>74</v>
      </c>
      <c r="G37" s="40" t="s">
        <v>74</v>
      </c>
      <c r="H37" s="52" t="s">
        <v>39</v>
      </c>
      <c r="I37" s="40" t="s">
        <v>39</v>
      </c>
      <c r="J37" s="40" t="s">
        <v>74</v>
      </c>
      <c r="K37" s="37" t="str">
        <f t="shared" si="1"/>
        <v>Failed</v>
      </c>
      <c r="M37" s="38" t="str">
        <f>IFERROR(__xludf.DUMMYFUNCTION("""COMPUTED_VALUE"""),"TTAC")</f>
        <v>TTAC</v>
      </c>
      <c r="N37" s="38" t="str">
        <f>IFERROR(__xludf.DUMMYFUNCTION("""COMPUTED_VALUE"""),"Sports Game Soundtrack")</f>
        <v>Sports Game Soundtrack</v>
      </c>
      <c r="O37" s="164" t="str">
        <f>IFERROR(__xludf.DUMMYFUNCTION("""COMPUTED_VALUE"""),"A song that is featured on a sports game soundtrack, Fifa, madden, Tony Hawk, ect.")</f>
        <v>A song that is featured on a sports game soundtrack, Fifa, madden, Tony Hawk, ect.</v>
      </c>
      <c r="P37" s="40" t="s">
        <v>33</v>
      </c>
      <c r="Q37" s="165">
        <v>46157.0</v>
      </c>
      <c r="R37" s="40" t="s">
        <v>171</v>
      </c>
      <c r="S37" s="40" t="s">
        <v>30</v>
      </c>
    </row>
    <row r="38">
      <c r="A38" s="40" t="s">
        <v>44</v>
      </c>
      <c r="B38" s="40" t="s">
        <v>172</v>
      </c>
      <c r="C38" s="43" t="s">
        <v>173</v>
      </c>
      <c r="D38" s="40" t="s">
        <v>39</v>
      </c>
      <c r="E38" s="40" t="s">
        <v>39</v>
      </c>
      <c r="F38" s="40" t="s">
        <v>74</v>
      </c>
      <c r="G38" s="40" t="s">
        <v>39</v>
      </c>
      <c r="H38" s="52" t="s">
        <v>74</v>
      </c>
      <c r="I38" s="40" t="s">
        <v>74</v>
      </c>
      <c r="J38" s="40" t="s">
        <v>39</v>
      </c>
      <c r="K38" s="37" t="str">
        <f t="shared" si="1"/>
        <v>Failed</v>
      </c>
      <c r="M38" s="38" t="str">
        <f>IFERROR(__xludf.DUMMYFUNCTION("""COMPUTED_VALUE"""),"Logan")</f>
        <v>Logan</v>
      </c>
      <c r="N38" s="38" t="str">
        <f>IFERROR(__xludf.DUMMYFUNCTION("""COMPUTED_VALUE"""),"Two Hit Wonder?")</f>
        <v>Two Hit Wonder?</v>
      </c>
      <c r="O38" s="164" t="str">
        <f>IFERROR(__xludf.DUMMYFUNCTION("""COMPUTED_VALUE"""),"song by an artist that's considered a one hit wonder but it can't be their known song")</f>
        <v>song by an artist that's considered a one hit wonder but it can't be their known song</v>
      </c>
      <c r="P38" s="38"/>
      <c r="Q38" s="38"/>
      <c r="R38" s="38"/>
      <c r="S38" s="38"/>
    </row>
    <row r="39">
      <c r="A39" s="40" t="s">
        <v>44</v>
      </c>
      <c r="B39" s="40" t="s">
        <v>174</v>
      </c>
      <c r="C39" s="43" t="s">
        <v>175</v>
      </c>
      <c r="D39" s="40" t="s">
        <v>39</v>
      </c>
      <c r="E39" s="40" t="s">
        <v>39</v>
      </c>
      <c r="F39" s="40" t="s">
        <v>39</v>
      </c>
      <c r="G39" s="40" t="s">
        <v>39</v>
      </c>
      <c r="H39" s="52" t="s">
        <v>39</v>
      </c>
      <c r="I39" s="40" t="s">
        <v>39</v>
      </c>
      <c r="J39" s="38"/>
      <c r="K39" s="37" t="str">
        <f t="shared" si="1"/>
        <v>Passed</v>
      </c>
      <c r="M39" s="38" t="str">
        <f>IFERROR(__xludf.DUMMYFUNCTION("""COMPUTED_VALUE"""),"TTAC")</f>
        <v>TTAC</v>
      </c>
      <c r="N39" s="38" t="str">
        <f>IFERROR(__xludf.DUMMYFUNCTION("""COMPUTED_VALUE"""),"Live Music")</f>
        <v>Live Music</v>
      </c>
      <c r="O39" s="164" t="str">
        <f>IFERROR(__xludf.DUMMYFUNCTION("""COMPUTED_VALUE"""),"Must have seen this song performed live at a concert by the artist")</f>
        <v>Must have seen this song performed live at a concert by the artist</v>
      </c>
      <c r="P39" s="40"/>
      <c r="Q39" s="41"/>
    </row>
    <row r="40">
      <c r="A40" s="40" t="s">
        <v>44</v>
      </c>
      <c r="B40" s="40" t="s">
        <v>176</v>
      </c>
      <c r="C40" s="43" t="s">
        <v>177</v>
      </c>
      <c r="D40" s="40" t="s">
        <v>39</v>
      </c>
      <c r="E40" s="40" t="s">
        <v>39</v>
      </c>
      <c r="F40" s="40" t="s">
        <v>39</v>
      </c>
      <c r="G40" s="40" t="s">
        <v>39</v>
      </c>
      <c r="H40" s="52" t="s">
        <v>39</v>
      </c>
      <c r="I40" s="40" t="s">
        <v>39</v>
      </c>
      <c r="J40" s="38"/>
      <c r="K40" s="37" t="str">
        <f t="shared" si="1"/>
        <v>Passed</v>
      </c>
      <c r="M40" s="38" t="str">
        <f>IFERROR(__xludf.DUMMYFUNCTION("""COMPUTED_VALUE"""),"Parker")</f>
        <v>Parker</v>
      </c>
      <c r="N40" s="38" t="str">
        <f>IFERROR(__xludf.DUMMYFUNCTION("""COMPUTED_VALUE"""),"Straight Outta the Vagina")</f>
        <v>Straight Outta the Vagina</v>
      </c>
      <c r="O40" s="164" t="str">
        <f>IFERROR(__xludf.DUMMYFUNCTION("""COMPUTED_VALUE"""),"Top 25 Charting Songs on the day you were born")</f>
        <v>Top 25 Charting Songs on the day you were born</v>
      </c>
      <c r="P40" s="40" t="s">
        <v>33</v>
      </c>
      <c r="Q40" s="41">
        <v>46185.0</v>
      </c>
      <c r="R40" s="40" t="s">
        <v>178</v>
      </c>
      <c r="S40" s="40" t="s">
        <v>85</v>
      </c>
    </row>
    <row r="41">
      <c r="A41" s="40" t="s">
        <v>44</v>
      </c>
      <c r="B41" s="40" t="s">
        <v>179</v>
      </c>
      <c r="C41" s="43" t="s">
        <v>180</v>
      </c>
      <c r="D41" s="40" t="s">
        <v>39</v>
      </c>
      <c r="E41" s="40" t="s">
        <v>74</v>
      </c>
      <c r="F41" s="40" t="s">
        <v>39</v>
      </c>
      <c r="G41" s="40" t="s">
        <v>74</v>
      </c>
      <c r="H41" s="52" t="s">
        <v>74</v>
      </c>
      <c r="I41" s="40" t="s">
        <v>74</v>
      </c>
      <c r="J41" s="38"/>
      <c r="K41" s="37" t="str">
        <f t="shared" si="1"/>
        <v>Failed</v>
      </c>
      <c r="M41" s="38" t="str">
        <f>IFERROR(__xludf.DUMMYFUNCTION("""COMPUTED_VALUE"""),"Rosey")</f>
        <v>Rosey</v>
      </c>
      <c r="N41" s="38" t="str">
        <f>IFERROR(__xludf.DUMMYFUNCTION("""COMPUTED_VALUE"""),"2000s")</f>
        <v>2000s</v>
      </c>
      <c r="O41" s="164"/>
      <c r="P41" s="38"/>
      <c r="Q41" s="38"/>
      <c r="R41" s="38"/>
      <c r="S41" s="38"/>
    </row>
    <row r="42">
      <c r="A42" s="40" t="s">
        <v>44</v>
      </c>
      <c r="B42" s="40" t="s">
        <v>181</v>
      </c>
      <c r="C42" s="43" t="s">
        <v>182</v>
      </c>
      <c r="D42" s="40" t="s">
        <v>39</v>
      </c>
      <c r="E42" s="40" t="s">
        <v>39</v>
      </c>
      <c r="F42" s="40" t="s">
        <v>74</v>
      </c>
      <c r="G42" s="40" t="s">
        <v>39</v>
      </c>
      <c r="H42" s="52" t="s">
        <v>39</v>
      </c>
      <c r="I42" s="40" t="s">
        <v>39</v>
      </c>
      <c r="J42" s="38"/>
      <c r="K42" s="37" t="str">
        <f t="shared" si="1"/>
        <v>Passed</v>
      </c>
      <c r="M42" s="38" t="str">
        <f>IFERROR(__xludf.DUMMYFUNCTION("""COMPUTED_VALUE"""),"Rosey")</f>
        <v>Rosey</v>
      </c>
      <c r="N42" s="38" t="str">
        <f>IFERROR(__xludf.DUMMYFUNCTION("""COMPUTED_VALUE"""),"Songs we blasting dropping into WW3")</f>
        <v>Songs we blasting dropping into WW3</v>
      </c>
      <c r="O42" s="164"/>
      <c r="P42" s="40"/>
      <c r="Q42" s="41"/>
      <c r="R42" s="40"/>
      <c r="S42" s="40"/>
    </row>
    <row r="43">
      <c r="A43" s="40" t="s">
        <v>30</v>
      </c>
      <c r="B43" s="40" t="s">
        <v>183</v>
      </c>
      <c r="C43" s="43" t="s">
        <v>184</v>
      </c>
      <c r="D43" s="40" t="s">
        <v>39</v>
      </c>
      <c r="E43" s="40" t="s">
        <v>39</v>
      </c>
      <c r="F43" s="40" t="s">
        <v>39</v>
      </c>
      <c r="G43" s="38"/>
      <c r="H43" s="52" t="s">
        <v>39</v>
      </c>
      <c r="I43" s="38"/>
      <c r="J43" s="38"/>
      <c r="K43" s="37" t="str">
        <f t="shared" si="1"/>
        <v>Passed</v>
      </c>
      <c r="M43" s="38" t="str">
        <f>IFERROR(__xludf.DUMMYFUNCTION("""COMPUTED_VALUE"""),"Giacomo")</f>
        <v>Giacomo</v>
      </c>
      <c r="N43" s="38" t="str">
        <f>IFERROR(__xludf.DUMMYFUNCTION("""COMPUTED_VALUE"""),"Ragebait TTAC Day")</f>
        <v>Ragebait TTAC Day</v>
      </c>
      <c r="O43" s="164" t="str">
        <f>IFERROR(__xludf.DUMMYFUNCTION("""COMPUTED_VALUE"""),"""What's this newfangled horse-hockey?""")</f>
        <v>"What's this newfangled horse-hockey?"</v>
      </c>
      <c r="P43" s="40" t="s">
        <v>33</v>
      </c>
      <c r="Q43" s="41">
        <v>46129.0</v>
      </c>
      <c r="R43" s="40" t="s">
        <v>185</v>
      </c>
      <c r="S43" s="40" t="s">
        <v>26</v>
      </c>
    </row>
    <row r="44">
      <c r="A44" s="40" t="s">
        <v>44</v>
      </c>
      <c r="B44" s="40" t="s">
        <v>186</v>
      </c>
      <c r="C44" s="43" t="s">
        <v>187</v>
      </c>
      <c r="D44" s="40" t="s">
        <v>74</v>
      </c>
      <c r="E44" s="40" t="s">
        <v>74</v>
      </c>
      <c r="F44" s="40" t="s">
        <v>39</v>
      </c>
      <c r="G44" s="38"/>
      <c r="H44" s="52" t="s">
        <v>39</v>
      </c>
      <c r="I44" s="40" t="s">
        <v>74</v>
      </c>
      <c r="J44" s="38"/>
      <c r="K44" s="37" t="str">
        <f t="shared" si="1"/>
        <v>Failed</v>
      </c>
      <c r="M44" s="210" t="str">
        <f>IFERROR(__xludf.DUMMYFUNCTION("""COMPUTED_VALUE"""),"Jake / Flocco")</f>
        <v>Jake / Flocco</v>
      </c>
      <c r="N44" s="210" t="str">
        <f>IFERROR(__xludf.DUMMYFUNCTION("""COMPUTED_VALUE"""),"Copy cat")</f>
        <v>Copy cat</v>
      </c>
      <c r="O44" s="211" t="str">
        <f>IFERROR(__xludf.DUMMYFUNCTION("""COMPUTED_VALUE"""),"Cover that's better than the original song")</f>
        <v>Cover that's better than the original song</v>
      </c>
      <c r="P44" s="212" t="s">
        <v>33</v>
      </c>
      <c r="Q44" s="213">
        <v>46269.0</v>
      </c>
      <c r="R44" s="210"/>
      <c r="S44" s="210"/>
    </row>
    <row r="45">
      <c r="A45" s="40" t="s">
        <v>30</v>
      </c>
      <c r="B45" s="40" t="s">
        <v>188</v>
      </c>
      <c r="C45" s="43" t="s">
        <v>189</v>
      </c>
      <c r="D45" s="40" t="s">
        <v>39</v>
      </c>
      <c r="E45" s="40" t="s">
        <v>39</v>
      </c>
      <c r="F45" s="40" t="s">
        <v>39</v>
      </c>
      <c r="G45" s="38"/>
      <c r="H45" s="52" t="s">
        <v>39</v>
      </c>
      <c r="I45" s="38"/>
      <c r="J45" s="38"/>
      <c r="K45" s="37" t="str">
        <f t="shared" si="1"/>
        <v>Passed</v>
      </c>
      <c r="M45" s="38" t="str">
        <f>IFERROR(__xludf.DUMMYFUNCTION("""COMPUTED_VALUE"""),"Parker")</f>
        <v>Parker</v>
      </c>
      <c r="N45" s="38" t="str">
        <f>IFERROR(__xludf.DUMMYFUNCTION("""COMPUTED_VALUE"""),"Walkout Song ")</f>
        <v>Walkout Song </v>
      </c>
      <c r="O45" s="164" t="str">
        <f>IFERROR(__xludf.DUMMYFUNCTION("""COMPUTED_VALUE"""),"An Athlete/Team Who Walks out to this song. (Baseball Player, MMA Fighter, Super Bowl Walkout Song")</f>
        <v>An Athlete/Team Who Walks out to this song. (Baseball Player, MMA Fighter, Super Bowl Walkout Song</v>
      </c>
      <c r="P45" s="38"/>
      <c r="Q45" s="38"/>
      <c r="R45" s="38"/>
      <c r="S45" s="38"/>
    </row>
    <row r="46">
      <c r="A46" s="40" t="s">
        <v>27</v>
      </c>
      <c r="B46" s="40" t="s">
        <v>192</v>
      </c>
      <c r="C46" s="43" t="s">
        <v>193</v>
      </c>
      <c r="D46" s="40" t="s">
        <v>39</v>
      </c>
      <c r="E46" s="40" t="s">
        <v>39</v>
      </c>
      <c r="F46" s="38"/>
      <c r="G46" s="38"/>
      <c r="H46" s="52" t="s">
        <v>39</v>
      </c>
      <c r="I46" s="40" t="s">
        <v>39</v>
      </c>
      <c r="J46" s="38"/>
      <c r="K46" s="37" t="str">
        <f t="shared" si="1"/>
        <v>Passed</v>
      </c>
      <c r="M46" s="38" t="str">
        <f>IFERROR(__xludf.DUMMYFUNCTION("""COMPUTED_VALUE"""),"Giacomo")</f>
        <v>Giacomo</v>
      </c>
      <c r="N46" s="38" t="str">
        <f>IFERROR(__xludf.DUMMYFUNCTION("""COMPUTED_VALUE"""),"Obamna")</f>
        <v>Obamna</v>
      </c>
      <c r="O46" s="164" t="str">
        <f>IFERROR(__xludf.DUMMYFUNCTION("""COMPUTED_VALUE"""),"Pick a song from any Obama summer playlist")</f>
        <v>Pick a song from any Obama summer playlist</v>
      </c>
      <c r="P46" s="38"/>
      <c r="Q46" s="38"/>
      <c r="R46" s="38"/>
      <c r="S46" s="38"/>
    </row>
    <row r="47">
      <c r="A47" s="40" t="s">
        <v>25</v>
      </c>
      <c r="B47" s="40" t="s">
        <v>194</v>
      </c>
      <c r="C47" s="43" t="s">
        <v>195</v>
      </c>
      <c r="D47" s="38"/>
      <c r="E47" s="40" t="s">
        <v>74</v>
      </c>
      <c r="F47" s="40" t="s">
        <v>74</v>
      </c>
      <c r="G47" s="40" t="s">
        <v>74</v>
      </c>
      <c r="H47" s="52" t="s">
        <v>39</v>
      </c>
      <c r="I47" s="40" t="s">
        <v>39</v>
      </c>
      <c r="J47" s="40" t="s">
        <v>39</v>
      </c>
      <c r="K47" s="37" t="str">
        <f t="shared" si="1"/>
        <v>Failed</v>
      </c>
      <c r="M47" s="38" t="str">
        <f>IFERROR(__xludf.DUMMYFUNCTION("""COMPUTED_VALUE"""),"Jake / Flocco")</f>
        <v>Jake / Flocco</v>
      </c>
      <c r="N47" s="38" t="str">
        <f>IFERROR(__xludf.DUMMYFUNCTION("""COMPUTED_VALUE"""),"Same same same")</f>
        <v>Same same same</v>
      </c>
      <c r="O47" s="164" t="str">
        <f>IFERROR(__xludf.DUMMYFUNCTION("""COMPUTED_VALUE"""),"Band, album, and song title all share the same name")</f>
        <v>Band, album, and song title all share the same name</v>
      </c>
      <c r="P47" s="38"/>
      <c r="Q47" s="38"/>
      <c r="R47" s="38"/>
      <c r="S47" s="38"/>
    </row>
    <row r="48">
      <c r="A48" s="40" t="s">
        <v>26</v>
      </c>
      <c r="B48" s="40" t="s">
        <v>196</v>
      </c>
      <c r="C48" s="114"/>
      <c r="D48" s="40" t="s">
        <v>39</v>
      </c>
      <c r="E48" s="38"/>
      <c r="F48" s="40" t="s">
        <v>39</v>
      </c>
      <c r="G48" s="38"/>
      <c r="H48" s="52" t="s">
        <v>39</v>
      </c>
      <c r="I48" s="40" t="s">
        <v>39</v>
      </c>
      <c r="J48" s="40" t="s">
        <v>199</v>
      </c>
      <c r="K48" s="37" t="str">
        <f t="shared" si="1"/>
        <v>Passed</v>
      </c>
      <c r="M48" s="38" t="str">
        <f>IFERROR(__xludf.DUMMYFUNCTION("""COMPUTED_VALUE"""),"Weston")</f>
        <v>Weston</v>
      </c>
      <c r="N48" s="38" t="str">
        <f>IFERROR(__xludf.DUMMYFUNCTION("""COMPUTED_VALUE"""),"Löded Diper Setlist")</f>
        <v>Löded Diper Setlist</v>
      </c>
      <c r="O48" s="164" t="str">
        <f>IFERROR(__xludf.DUMMYFUNCTION("""COMPUTED_VALUE"""),"Pick a song that Rodrick and the band would cover")</f>
        <v>Pick a song that Rodrick and the band would cover</v>
      </c>
      <c r="P48" s="38"/>
      <c r="Q48" s="38"/>
      <c r="R48" s="38"/>
      <c r="S48" s="38"/>
    </row>
    <row r="49">
      <c r="A49" s="40" t="s">
        <v>27</v>
      </c>
      <c r="B49" s="40" t="s">
        <v>200</v>
      </c>
      <c r="C49" s="43" t="s">
        <v>201</v>
      </c>
      <c r="D49" s="40" t="s">
        <v>39</v>
      </c>
      <c r="E49" s="40" t="s">
        <v>39</v>
      </c>
      <c r="F49" s="38"/>
      <c r="G49" s="40" t="s">
        <v>39</v>
      </c>
      <c r="H49" s="52" t="s">
        <v>39</v>
      </c>
      <c r="I49" s="40" t="s">
        <v>39</v>
      </c>
      <c r="J49" s="38"/>
      <c r="K49" s="37" t="str">
        <f t="shared" si="1"/>
        <v>Passed</v>
      </c>
      <c r="M49" s="38" t="str">
        <f>IFERROR(__xludf.DUMMYFUNCTION("""COMPUTED_VALUE"""),"Jake / Flocco")</f>
        <v>Jake / Flocco</v>
      </c>
      <c r="N49" s="38" t="str">
        <f>IFERROR(__xludf.DUMMYFUNCTION("""COMPUTED_VALUE"""),"That's me!")</f>
        <v>That's me!</v>
      </c>
      <c r="O49" s="164" t="str">
        <f>IFERROR(__xludf.DUMMYFUNCTION("""COMPUTED_VALUE"""),"The artist's name must match your own")</f>
        <v>The artist's name must match your own</v>
      </c>
      <c r="P49" s="38"/>
      <c r="Q49" s="38"/>
      <c r="R49" s="38"/>
      <c r="S49" s="38"/>
    </row>
    <row r="50">
      <c r="A50" s="40" t="s">
        <v>29</v>
      </c>
      <c r="B50" s="40" t="s">
        <v>202</v>
      </c>
      <c r="C50" s="43" t="s">
        <v>203</v>
      </c>
      <c r="D50" s="40" t="s">
        <v>74</v>
      </c>
      <c r="E50" s="40" t="s">
        <v>74</v>
      </c>
      <c r="F50" s="40" t="s">
        <v>74</v>
      </c>
      <c r="G50" s="40" t="s">
        <v>74</v>
      </c>
      <c r="H50" s="52" t="s">
        <v>39</v>
      </c>
      <c r="I50" s="40" t="s">
        <v>74</v>
      </c>
      <c r="J50" s="40" t="s">
        <v>74</v>
      </c>
      <c r="K50" s="37" t="str">
        <f t="shared" si="1"/>
        <v>Failed</v>
      </c>
      <c r="M50" s="38"/>
      <c r="N50" s="38"/>
      <c r="O50" s="164"/>
      <c r="P50" s="38"/>
      <c r="Q50" s="38"/>
      <c r="R50" s="38"/>
      <c r="S50" s="38"/>
    </row>
    <row r="51">
      <c r="A51" s="40" t="s">
        <v>30</v>
      </c>
      <c r="B51" s="40" t="s">
        <v>204</v>
      </c>
      <c r="C51" s="43" t="s">
        <v>205</v>
      </c>
      <c r="D51" s="40" t="s">
        <v>39</v>
      </c>
      <c r="E51" s="40" t="s">
        <v>74</v>
      </c>
      <c r="F51" s="40" t="s">
        <v>74</v>
      </c>
      <c r="G51" s="40" t="s">
        <v>74</v>
      </c>
      <c r="H51" s="52" t="s">
        <v>39</v>
      </c>
      <c r="I51" s="38"/>
      <c r="J51" s="38"/>
      <c r="K51" s="37" t="str">
        <f t="shared" si="1"/>
        <v>Failed</v>
      </c>
      <c r="M51" s="38"/>
      <c r="N51" s="38"/>
      <c r="O51" s="164"/>
      <c r="P51" s="38"/>
      <c r="Q51" s="38"/>
      <c r="R51" s="38"/>
      <c r="S51" s="38"/>
    </row>
    <row r="52">
      <c r="A52" s="40" t="s">
        <v>29</v>
      </c>
      <c r="B52" s="40" t="s">
        <v>206</v>
      </c>
      <c r="C52" s="43" t="s">
        <v>207</v>
      </c>
      <c r="D52" s="40" t="s">
        <v>39</v>
      </c>
      <c r="E52" s="40" t="s">
        <v>39</v>
      </c>
      <c r="F52" s="40" t="s">
        <v>39</v>
      </c>
      <c r="G52" s="40" t="s">
        <v>39</v>
      </c>
      <c r="H52" s="52" t="s">
        <v>39</v>
      </c>
      <c r="I52" s="40" t="s">
        <v>39</v>
      </c>
      <c r="J52" s="38"/>
      <c r="K52" s="37" t="str">
        <f t="shared" si="1"/>
        <v>Passed</v>
      </c>
      <c r="M52" s="38"/>
      <c r="N52" s="38"/>
      <c r="O52" s="164"/>
      <c r="P52" s="38"/>
      <c r="Q52" s="38"/>
      <c r="R52" s="38"/>
      <c r="S52" s="38"/>
    </row>
    <row r="53">
      <c r="A53" s="40" t="s">
        <v>25</v>
      </c>
      <c r="B53" s="40" t="s">
        <v>208</v>
      </c>
      <c r="C53" s="43" t="s">
        <v>209</v>
      </c>
      <c r="D53" s="38"/>
      <c r="E53" s="40" t="s">
        <v>39</v>
      </c>
      <c r="F53" s="40" t="s">
        <v>39</v>
      </c>
      <c r="G53" s="40" t="s">
        <v>39</v>
      </c>
      <c r="H53" s="52" t="s">
        <v>39</v>
      </c>
      <c r="I53" s="40" t="s">
        <v>39</v>
      </c>
      <c r="J53" s="38"/>
      <c r="K53" s="37" t="str">
        <f t="shared" si="1"/>
        <v>Passed</v>
      </c>
      <c r="M53" s="38"/>
      <c r="N53" s="38"/>
      <c r="O53" s="164"/>
      <c r="P53" s="38"/>
      <c r="Q53" s="38"/>
      <c r="R53" s="38"/>
      <c r="S53" s="38"/>
    </row>
    <row r="54">
      <c r="A54" s="40" t="s">
        <v>29</v>
      </c>
      <c r="B54" s="40" t="s">
        <v>210</v>
      </c>
      <c r="C54" s="43" t="s">
        <v>211</v>
      </c>
      <c r="D54" s="40" t="s">
        <v>39</v>
      </c>
      <c r="E54" s="40" t="s">
        <v>39</v>
      </c>
      <c r="F54" s="40" t="s">
        <v>39</v>
      </c>
      <c r="G54" s="40" t="s">
        <v>74</v>
      </c>
      <c r="H54" s="52" t="s">
        <v>39</v>
      </c>
      <c r="I54" s="40" t="s">
        <v>39</v>
      </c>
      <c r="J54" s="40" t="s">
        <v>39</v>
      </c>
      <c r="K54" s="37" t="str">
        <f t="shared" si="1"/>
        <v>Passed</v>
      </c>
      <c r="M54" s="38"/>
      <c r="N54" s="38"/>
      <c r="O54" s="164"/>
      <c r="P54" s="38"/>
      <c r="Q54" s="38"/>
      <c r="R54" s="38"/>
      <c r="S54" s="38"/>
    </row>
    <row r="55">
      <c r="A55" s="40" t="s">
        <v>30</v>
      </c>
      <c r="B55" s="40" t="s">
        <v>212</v>
      </c>
      <c r="C55" s="43" t="s">
        <v>214</v>
      </c>
      <c r="D55" s="38"/>
      <c r="E55" s="40" t="s">
        <v>74</v>
      </c>
      <c r="F55" s="40" t="s">
        <v>39</v>
      </c>
      <c r="G55" s="40" t="s">
        <v>74</v>
      </c>
      <c r="H55" s="52" t="s">
        <v>74</v>
      </c>
      <c r="I55" s="38"/>
      <c r="J55" s="40" t="s">
        <v>39</v>
      </c>
      <c r="K55" s="37" t="str">
        <f t="shared" si="1"/>
        <v>Failed</v>
      </c>
      <c r="M55" s="38"/>
      <c r="N55" s="38"/>
      <c r="O55" s="164"/>
      <c r="P55" s="38"/>
      <c r="Q55" s="38"/>
      <c r="R55" s="38"/>
      <c r="S55" s="38"/>
    </row>
    <row r="56">
      <c r="A56" s="40" t="s">
        <v>26</v>
      </c>
      <c r="B56" s="40" t="s">
        <v>216</v>
      </c>
      <c r="C56" s="43" t="s">
        <v>217</v>
      </c>
      <c r="D56" s="40" t="s">
        <v>39</v>
      </c>
      <c r="E56" s="38"/>
      <c r="F56" s="40" t="s">
        <v>39</v>
      </c>
      <c r="G56" s="40" t="s">
        <v>39</v>
      </c>
      <c r="H56" s="52" t="s">
        <v>39</v>
      </c>
      <c r="I56" s="40" t="s">
        <v>39</v>
      </c>
      <c r="J56" s="40" t="s">
        <v>39</v>
      </c>
      <c r="K56" s="37" t="str">
        <f t="shared" si="1"/>
        <v>Passed</v>
      </c>
      <c r="M56" s="38"/>
      <c r="N56" s="38"/>
      <c r="O56" s="164"/>
      <c r="P56" s="38"/>
      <c r="Q56" s="38"/>
      <c r="R56" s="38"/>
      <c r="S56" s="38"/>
    </row>
    <row r="57">
      <c r="A57" s="40" t="s">
        <v>44</v>
      </c>
      <c r="B57" s="40" t="s">
        <v>218</v>
      </c>
      <c r="C57" s="43" t="s">
        <v>219</v>
      </c>
      <c r="D57" s="38"/>
      <c r="E57" s="40" t="s">
        <v>74</v>
      </c>
      <c r="F57" s="40" t="s">
        <v>74</v>
      </c>
      <c r="G57" s="40" t="s">
        <v>74</v>
      </c>
      <c r="H57" s="52" t="s">
        <v>74</v>
      </c>
      <c r="I57" s="40" t="s">
        <v>74</v>
      </c>
      <c r="J57" s="40" t="s">
        <v>74</v>
      </c>
      <c r="K57" s="37" t="str">
        <f t="shared" si="1"/>
        <v>Failed</v>
      </c>
      <c r="M57" s="38"/>
      <c r="N57" s="38"/>
      <c r="O57" s="164"/>
      <c r="P57" s="38"/>
      <c r="Q57" s="38"/>
      <c r="R57" s="38"/>
      <c r="S57" s="38"/>
    </row>
    <row r="58">
      <c r="A58" s="40" t="s">
        <v>28</v>
      </c>
      <c r="B58" s="40" t="s">
        <v>220</v>
      </c>
      <c r="C58" s="43"/>
      <c r="D58" s="40" t="s">
        <v>39</v>
      </c>
      <c r="E58" s="40" t="s">
        <v>39</v>
      </c>
      <c r="F58" s="40" t="s">
        <v>39</v>
      </c>
      <c r="G58" s="38"/>
      <c r="H58" s="52" t="s">
        <v>39</v>
      </c>
      <c r="I58" s="40" t="s">
        <v>39</v>
      </c>
      <c r="J58" s="40" t="s">
        <v>39</v>
      </c>
      <c r="K58" s="37" t="str">
        <f t="shared" si="1"/>
        <v>Passed</v>
      </c>
      <c r="M58" s="38"/>
      <c r="N58" s="38"/>
      <c r="O58" s="164"/>
      <c r="P58" s="38"/>
      <c r="Q58" s="38"/>
      <c r="R58" s="38"/>
      <c r="S58" s="38"/>
    </row>
    <row r="59">
      <c r="A59" s="40" t="s">
        <v>28</v>
      </c>
      <c r="B59" s="40" t="s">
        <v>221</v>
      </c>
      <c r="C59" s="114"/>
      <c r="D59" s="40" t="s">
        <v>39</v>
      </c>
      <c r="E59" s="40" t="s">
        <v>39</v>
      </c>
      <c r="F59" s="40" t="s">
        <v>39</v>
      </c>
      <c r="G59" s="38"/>
      <c r="H59" s="52" t="s">
        <v>39</v>
      </c>
      <c r="I59" s="40" t="s">
        <v>39</v>
      </c>
      <c r="J59" s="40" t="s">
        <v>39</v>
      </c>
      <c r="K59" s="37" t="str">
        <f t="shared" si="1"/>
        <v>Passed</v>
      </c>
      <c r="M59" s="38"/>
      <c r="N59" s="38"/>
      <c r="O59" s="164"/>
      <c r="P59" s="38"/>
      <c r="Q59" s="38"/>
      <c r="R59" s="38"/>
      <c r="S59" s="38"/>
    </row>
    <row r="60">
      <c r="A60" s="40" t="s">
        <v>27</v>
      </c>
      <c r="B60" s="40" t="s">
        <v>222</v>
      </c>
      <c r="C60" s="43" t="s">
        <v>223</v>
      </c>
      <c r="D60" s="40" t="s">
        <v>39</v>
      </c>
      <c r="E60" s="40" t="s">
        <v>39</v>
      </c>
      <c r="F60" s="38"/>
      <c r="G60" s="40" t="s">
        <v>39</v>
      </c>
      <c r="H60" s="52" t="s">
        <v>39</v>
      </c>
      <c r="I60" s="40" t="s">
        <v>39</v>
      </c>
      <c r="J60" s="40" t="s">
        <v>74</v>
      </c>
      <c r="K60" s="37" t="str">
        <f t="shared" si="1"/>
        <v>Passed</v>
      </c>
      <c r="M60" s="38"/>
      <c r="N60" s="38"/>
      <c r="O60" s="164"/>
      <c r="P60" s="38"/>
      <c r="Q60" s="38"/>
      <c r="R60" s="38"/>
      <c r="S60" s="38"/>
    </row>
    <row r="61">
      <c r="A61" s="40" t="s">
        <v>31</v>
      </c>
      <c r="B61" s="40" t="s">
        <v>224</v>
      </c>
      <c r="C61" s="43" t="s">
        <v>225</v>
      </c>
      <c r="D61" s="40" t="s">
        <v>39</v>
      </c>
      <c r="E61" s="40" t="s">
        <v>39</v>
      </c>
      <c r="F61" s="40" t="s">
        <v>39</v>
      </c>
      <c r="G61" s="38"/>
      <c r="H61" s="52" t="s">
        <v>39</v>
      </c>
      <c r="I61" s="40" t="s">
        <v>39</v>
      </c>
      <c r="J61" s="38"/>
      <c r="K61" s="37" t="str">
        <f t="shared" si="1"/>
        <v>Passed</v>
      </c>
      <c r="M61" s="38"/>
      <c r="N61" s="38"/>
      <c r="O61" s="164"/>
      <c r="P61" s="38"/>
      <c r="Q61" s="38"/>
      <c r="R61" s="38"/>
      <c r="S61" s="38"/>
    </row>
    <row r="62">
      <c r="A62" s="40" t="s">
        <v>26</v>
      </c>
      <c r="B62" s="40" t="s">
        <v>226</v>
      </c>
      <c r="C62" s="43" t="s">
        <v>227</v>
      </c>
      <c r="D62" s="40" t="s">
        <v>39</v>
      </c>
      <c r="E62" s="38"/>
      <c r="F62" s="40" t="s">
        <v>39</v>
      </c>
      <c r="G62" s="38"/>
      <c r="H62" s="52" t="s">
        <v>39</v>
      </c>
      <c r="I62" s="40" t="s">
        <v>39</v>
      </c>
      <c r="J62" s="40" t="s">
        <v>39</v>
      </c>
      <c r="K62" s="37" t="str">
        <f t="shared" si="1"/>
        <v>Passed</v>
      </c>
      <c r="M62" s="38"/>
      <c r="N62" s="38"/>
      <c r="O62" s="164"/>
      <c r="P62" s="38"/>
      <c r="Q62" s="38"/>
      <c r="R62" s="38"/>
      <c r="S62" s="38"/>
    </row>
    <row r="63">
      <c r="A63" s="40" t="s">
        <v>27</v>
      </c>
      <c r="B63" s="40" t="s">
        <v>228</v>
      </c>
      <c r="C63" s="43" t="s">
        <v>229</v>
      </c>
      <c r="D63" s="40" t="s">
        <v>39</v>
      </c>
      <c r="E63" s="40" t="s">
        <v>39</v>
      </c>
      <c r="F63" s="38"/>
      <c r="G63" s="38"/>
      <c r="H63" s="52" t="s">
        <v>39</v>
      </c>
      <c r="I63" s="40" t="s">
        <v>39</v>
      </c>
      <c r="J63" s="40" t="s">
        <v>39</v>
      </c>
      <c r="K63" s="37" t="str">
        <f t="shared" si="1"/>
        <v>Passed</v>
      </c>
      <c r="M63" s="38"/>
      <c r="N63" s="38"/>
      <c r="O63" s="164"/>
      <c r="P63" s="38"/>
      <c r="Q63" s="38"/>
      <c r="R63" s="38"/>
      <c r="S63" s="38"/>
    </row>
    <row r="64">
      <c r="A64" s="40" t="s">
        <v>31</v>
      </c>
      <c r="B64" s="40" t="s">
        <v>232</v>
      </c>
      <c r="C64" s="43" t="s">
        <v>233</v>
      </c>
      <c r="D64" s="40" t="s">
        <v>39</v>
      </c>
      <c r="E64" s="40" t="s">
        <v>39</v>
      </c>
      <c r="F64" s="40" t="s">
        <v>74</v>
      </c>
      <c r="G64" s="38"/>
      <c r="H64" s="52" t="s">
        <v>39</v>
      </c>
      <c r="I64" s="40" t="s">
        <v>39</v>
      </c>
      <c r="J64" s="38"/>
      <c r="K64" s="37" t="str">
        <f t="shared" si="1"/>
        <v>Passed</v>
      </c>
      <c r="M64" s="38"/>
      <c r="N64" s="38"/>
      <c r="O64" s="164"/>
      <c r="P64" s="38"/>
      <c r="Q64" s="38"/>
      <c r="R64" s="38"/>
      <c r="S64" s="38"/>
    </row>
    <row r="65">
      <c r="A65" s="40" t="s">
        <v>29</v>
      </c>
      <c r="B65" s="40" t="s">
        <v>234</v>
      </c>
      <c r="C65" s="43" t="s">
        <v>235</v>
      </c>
      <c r="D65" s="40" t="s">
        <v>74</v>
      </c>
      <c r="E65" s="40" t="s">
        <v>74</v>
      </c>
      <c r="F65" s="40" t="s">
        <v>74</v>
      </c>
      <c r="G65" s="38"/>
      <c r="H65" s="52" t="s">
        <v>39</v>
      </c>
      <c r="I65" s="40" t="s">
        <v>39</v>
      </c>
      <c r="J65" s="40" t="s">
        <v>39</v>
      </c>
      <c r="K65" s="52" t="s">
        <v>10</v>
      </c>
      <c r="M65" s="38"/>
      <c r="N65" s="38"/>
      <c r="O65" s="164"/>
      <c r="P65" s="38"/>
      <c r="Q65" s="38"/>
      <c r="R65" s="38"/>
      <c r="S65" s="38"/>
    </row>
    <row r="66">
      <c r="A66" s="40" t="s">
        <v>29</v>
      </c>
      <c r="B66" s="40" t="s">
        <v>236</v>
      </c>
      <c r="C66" s="43" t="s">
        <v>237</v>
      </c>
      <c r="D66" s="40" t="s">
        <v>39</v>
      </c>
      <c r="E66" s="40" t="s">
        <v>74</v>
      </c>
      <c r="F66" s="40" t="s">
        <v>74</v>
      </c>
      <c r="G66" s="38"/>
      <c r="H66" s="52" t="s">
        <v>39</v>
      </c>
      <c r="I66" s="40" t="s">
        <v>39</v>
      </c>
      <c r="J66" s="40" t="s">
        <v>74</v>
      </c>
      <c r="K66" s="37" t="str">
        <f>IF(COUNTIF(D66:J66, "Opposed") &gt;=3,"Failed", IF(COUNTIF(D66:J66, "In Favor") &gt;=4, "Passed", ""))</f>
        <v>Failed</v>
      </c>
      <c r="M66" s="38"/>
      <c r="N66" s="38"/>
      <c r="O66" s="164"/>
      <c r="P66" s="38"/>
      <c r="Q66" s="38"/>
      <c r="R66" s="38"/>
      <c r="S66" s="38"/>
    </row>
    <row r="67">
      <c r="A67" s="40" t="s">
        <v>31</v>
      </c>
      <c r="B67" s="40" t="s">
        <v>238</v>
      </c>
      <c r="C67" s="43" t="s">
        <v>239</v>
      </c>
      <c r="D67" s="40" t="s">
        <v>74</v>
      </c>
      <c r="E67" s="38"/>
      <c r="F67" s="40" t="s">
        <v>74</v>
      </c>
      <c r="G67" s="38"/>
      <c r="H67" s="38"/>
      <c r="I67" s="38"/>
      <c r="J67" s="40" t="s">
        <v>240</v>
      </c>
      <c r="K67" s="38"/>
      <c r="M67" s="38"/>
      <c r="N67" s="38"/>
      <c r="O67" s="164"/>
      <c r="P67" s="38"/>
      <c r="Q67" s="38"/>
      <c r="R67" s="38"/>
      <c r="S67" s="38"/>
    </row>
    <row r="68">
      <c r="A68" s="230" t="s">
        <v>26</v>
      </c>
      <c r="B68" s="40" t="s">
        <v>241</v>
      </c>
      <c r="C68" s="43" t="s">
        <v>242</v>
      </c>
      <c r="D68" s="40" t="s">
        <v>39</v>
      </c>
      <c r="E68" s="38"/>
      <c r="F68" s="40" t="s">
        <v>39</v>
      </c>
      <c r="G68" s="38"/>
      <c r="H68" s="40" t="s">
        <v>39</v>
      </c>
      <c r="I68" s="40" t="s">
        <v>39</v>
      </c>
      <c r="J68" s="40" t="s">
        <v>74</v>
      </c>
      <c r="K68" s="38"/>
      <c r="M68" s="38"/>
      <c r="N68" s="38"/>
      <c r="O68" s="164"/>
      <c r="P68" s="38"/>
      <c r="Q68" s="38"/>
      <c r="R68" s="38"/>
      <c r="S68" s="38"/>
    </row>
    <row r="69">
      <c r="A69" s="231" t="s">
        <v>30</v>
      </c>
      <c r="B69" s="40" t="s">
        <v>245</v>
      </c>
      <c r="C69" s="43" t="s">
        <v>246</v>
      </c>
      <c r="D69" s="40" t="s">
        <v>39</v>
      </c>
      <c r="E69" s="38"/>
      <c r="F69" s="40" t="s">
        <v>39</v>
      </c>
      <c r="G69" s="38"/>
      <c r="H69" s="40" t="s">
        <v>39</v>
      </c>
      <c r="I69" s="38"/>
      <c r="J69" s="40" t="s">
        <v>39</v>
      </c>
      <c r="K69" s="38"/>
      <c r="M69" s="38"/>
      <c r="N69" s="38"/>
      <c r="O69" s="164"/>
      <c r="P69" s="38"/>
      <c r="Q69" s="38"/>
      <c r="R69" s="38"/>
      <c r="S69" s="38"/>
    </row>
    <row r="70">
      <c r="A70" s="40" t="s">
        <v>27</v>
      </c>
      <c r="B70" s="40" t="s">
        <v>247</v>
      </c>
      <c r="C70" s="43" t="s">
        <v>248</v>
      </c>
      <c r="D70" s="40" t="s">
        <v>39</v>
      </c>
      <c r="E70" s="40"/>
      <c r="F70" s="38"/>
      <c r="G70" s="38"/>
      <c r="H70" s="40" t="s">
        <v>39</v>
      </c>
      <c r="I70" s="40" t="s">
        <v>39</v>
      </c>
      <c r="J70" s="40" t="s">
        <v>74</v>
      </c>
      <c r="K70" s="37" t="str">
        <f t="shared" ref="K70:K77" si="2">IF(COUNTIF(D70:J70, "Opposed") &gt;=3,"Failed", IF(COUNTIF(D70:J70, "In Favor") &gt;=4, "Passed", ""))</f>
        <v/>
      </c>
      <c r="M70" s="38"/>
      <c r="N70" s="38"/>
      <c r="O70" s="164"/>
      <c r="P70" s="38"/>
      <c r="Q70" s="38"/>
      <c r="R70" s="38"/>
      <c r="S70" s="38"/>
    </row>
    <row r="71">
      <c r="A71" s="40" t="s">
        <v>30</v>
      </c>
      <c r="B71" s="131" t="s">
        <v>249</v>
      </c>
      <c r="C71" s="43" t="s">
        <v>250</v>
      </c>
      <c r="D71" s="40" t="s">
        <v>74</v>
      </c>
      <c r="E71" s="40" t="s">
        <v>39</v>
      </c>
      <c r="F71" s="40" t="s">
        <v>39</v>
      </c>
      <c r="G71" s="38"/>
      <c r="H71" s="52" t="s">
        <v>39</v>
      </c>
      <c r="I71" s="40"/>
      <c r="J71" s="40" t="s">
        <v>39</v>
      </c>
      <c r="K71" s="37" t="str">
        <f t="shared" si="2"/>
        <v>Passed</v>
      </c>
      <c r="M71" s="38"/>
      <c r="N71" s="38"/>
      <c r="O71" s="164"/>
      <c r="P71" s="38"/>
      <c r="Q71" s="38"/>
      <c r="R71" s="38"/>
      <c r="S71" s="38"/>
    </row>
    <row r="72">
      <c r="A72" s="40" t="s">
        <v>31</v>
      </c>
      <c r="B72" s="40" t="s">
        <v>251</v>
      </c>
      <c r="C72" s="43" t="s">
        <v>252</v>
      </c>
      <c r="D72" s="40" t="s">
        <v>39</v>
      </c>
      <c r="E72" s="40" t="s">
        <v>39</v>
      </c>
      <c r="F72" s="40" t="s">
        <v>74</v>
      </c>
      <c r="G72" s="38"/>
      <c r="H72" s="52" t="s">
        <v>39</v>
      </c>
      <c r="I72" s="40" t="s">
        <v>39</v>
      </c>
      <c r="J72" s="40"/>
      <c r="K72" s="37" t="str">
        <f t="shared" si="2"/>
        <v>Passed</v>
      </c>
      <c r="M72" s="38"/>
      <c r="N72" s="38"/>
      <c r="O72" s="164"/>
      <c r="P72" s="38"/>
      <c r="Q72" s="38"/>
      <c r="R72" s="38"/>
      <c r="S72" s="38"/>
    </row>
    <row r="73">
      <c r="A73" s="40" t="s">
        <v>27</v>
      </c>
      <c r="B73" s="40" t="s">
        <v>253</v>
      </c>
      <c r="C73" s="43" t="s">
        <v>254</v>
      </c>
      <c r="D73" s="38"/>
      <c r="E73" s="40"/>
      <c r="F73" s="38"/>
      <c r="G73" s="38"/>
      <c r="H73" s="52"/>
      <c r="I73" s="40" t="s">
        <v>39</v>
      </c>
      <c r="J73" s="40"/>
      <c r="K73" s="37" t="str">
        <f t="shared" si="2"/>
        <v/>
      </c>
      <c r="M73" s="38"/>
      <c r="N73" s="38"/>
      <c r="O73" s="164"/>
      <c r="P73" s="38"/>
      <c r="Q73" s="38"/>
      <c r="R73" s="38"/>
      <c r="S73" s="38"/>
    </row>
    <row r="74">
      <c r="A74" s="40"/>
      <c r="B74" s="40"/>
      <c r="C74" s="43"/>
      <c r="D74" s="38"/>
      <c r="E74" s="40"/>
      <c r="F74" s="38"/>
      <c r="G74" s="38"/>
      <c r="H74" s="52"/>
      <c r="I74" s="40"/>
      <c r="J74" s="40"/>
      <c r="K74" s="37" t="str">
        <f t="shared" si="2"/>
        <v/>
      </c>
      <c r="M74" s="38"/>
      <c r="N74" s="38"/>
      <c r="O74" s="164"/>
      <c r="P74" s="38"/>
      <c r="Q74" s="38"/>
      <c r="R74" s="38"/>
      <c r="S74" s="38"/>
    </row>
    <row r="75">
      <c r="A75" s="40"/>
      <c r="B75" s="40"/>
      <c r="C75" s="43"/>
      <c r="D75" s="38"/>
      <c r="E75" s="40"/>
      <c r="F75" s="38"/>
      <c r="G75" s="38"/>
      <c r="H75" s="52"/>
      <c r="I75" s="40"/>
      <c r="J75" s="40"/>
      <c r="K75" s="37" t="str">
        <f t="shared" si="2"/>
        <v/>
      </c>
      <c r="M75" s="38"/>
      <c r="N75" s="38"/>
      <c r="O75" s="164"/>
      <c r="P75" s="38"/>
      <c r="Q75" s="38"/>
      <c r="R75" s="38"/>
      <c r="S75" s="38"/>
    </row>
    <row r="76">
      <c r="A76" s="40"/>
      <c r="B76" s="40"/>
      <c r="C76" s="43"/>
      <c r="D76" s="38"/>
      <c r="E76" s="40"/>
      <c r="F76" s="38"/>
      <c r="G76" s="38"/>
      <c r="H76" s="52"/>
      <c r="I76" s="40"/>
      <c r="J76" s="40"/>
      <c r="K76" s="37" t="str">
        <f t="shared" si="2"/>
        <v/>
      </c>
      <c r="M76" s="38"/>
      <c r="N76" s="38"/>
      <c r="O76" s="164"/>
      <c r="P76" s="38"/>
      <c r="Q76" s="38"/>
      <c r="R76" s="38"/>
      <c r="S76" s="38"/>
    </row>
    <row r="77">
      <c r="A77" s="40"/>
      <c r="B77" s="40"/>
      <c r="C77" s="43"/>
      <c r="D77" s="38"/>
      <c r="E77" s="40"/>
      <c r="F77" s="38"/>
      <c r="G77" s="38"/>
      <c r="H77" s="52"/>
      <c r="I77" s="40"/>
      <c r="J77" s="40"/>
      <c r="K77" s="37" t="str">
        <f t="shared" si="2"/>
        <v/>
      </c>
      <c r="M77" s="38"/>
      <c r="N77" s="38"/>
      <c r="O77" s="164"/>
      <c r="P77" s="38"/>
      <c r="Q77" s="38"/>
      <c r="R77" s="38"/>
      <c r="S77" s="38"/>
    </row>
    <row r="78">
      <c r="A78" s="234"/>
      <c r="B78" s="234"/>
      <c r="C78" s="236"/>
      <c r="D78" s="234"/>
      <c r="E78" s="234"/>
      <c r="F78" s="234"/>
      <c r="G78" s="234"/>
      <c r="H78" s="234"/>
      <c r="I78" s="234"/>
      <c r="J78" s="234"/>
      <c r="K78" s="234"/>
      <c r="M78" s="234"/>
      <c r="N78" s="234"/>
      <c r="O78" s="238"/>
      <c r="P78" s="234"/>
      <c r="Q78" s="234"/>
      <c r="R78" s="234"/>
      <c r="S78" s="234"/>
    </row>
    <row r="79">
      <c r="A79" s="234"/>
      <c r="B79" s="234"/>
      <c r="C79" s="236"/>
      <c r="D79" s="234"/>
      <c r="E79" s="234"/>
      <c r="F79" s="234"/>
      <c r="G79" s="234"/>
      <c r="H79" s="234"/>
      <c r="I79" s="234"/>
      <c r="J79" s="234"/>
      <c r="K79" s="234"/>
      <c r="M79" s="234"/>
      <c r="N79" s="234"/>
      <c r="O79" s="238"/>
      <c r="P79" s="234"/>
      <c r="Q79" s="234"/>
      <c r="R79" s="234"/>
      <c r="S79" s="234"/>
    </row>
    <row r="80">
      <c r="A80" s="234"/>
      <c r="B80" s="234"/>
      <c r="C80" s="236"/>
      <c r="D80" s="234"/>
      <c r="E80" s="234"/>
      <c r="F80" s="234"/>
      <c r="G80" s="234"/>
      <c r="H80" s="234"/>
      <c r="I80" s="234"/>
      <c r="J80" s="234"/>
      <c r="K80" s="234"/>
      <c r="M80" s="234"/>
      <c r="N80" s="234"/>
      <c r="O80" s="238"/>
      <c r="P80" s="234"/>
      <c r="Q80" s="234"/>
      <c r="R80" s="234"/>
      <c r="S80" s="234"/>
    </row>
    <row r="81">
      <c r="A81" s="234"/>
      <c r="B81" s="234"/>
      <c r="C81" s="236"/>
      <c r="D81" s="234"/>
      <c r="E81" s="234"/>
      <c r="F81" s="234"/>
      <c r="G81" s="234"/>
      <c r="H81" s="234"/>
      <c r="I81" s="234"/>
      <c r="J81" s="234"/>
      <c r="K81" s="234"/>
      <c r="M81" s="234"/>
      <c r="N81" s="234"/>
      <c r="O81" s="238"/>
      <c r="P81" s="234"/>
      <c r="Q81" s="234"/>
      <c r="R81" s="234"/>
      <c r="S81" s="234"/>
    </row>
    <row r="82">
      <c r="A82" s="234"/>
      <c r="B82" s="234"/>
      <c r="C82" s="236"/>
      <c r="D82" s="234"/>
      <c r="E82" s="234"/>
      <c r="F82" s="234"/>
      <c r="G82" s="234"/>
      <c r="H82" s="234"/>
      <c r="I82" s="234"/>
      <c r="J82" s="234"/>
      <c r="K82" s="234"/>
      <c r="M82" s="234"/>
      <c r="N82" s="234"/>
      <c r="O82" s="238"/>
      <c r="P82" s="234"/>
      <c r="Q82" s="234"/>
      <c r="R82" s="234"/>
      <c r="S82" s="234"/>
    </row>
    <row r="83">
      <c r="A83" s="234"/>
      <c r="B83" s="234"/>
      <c r="C83" s="236"/>
      <c r="D83" s="234"/>
      <c r="E83" s="234"/>
      <c r="F83" s="234"/>
      <c r="G83" s="234"/>
      <c r="H83" s="234"/>
      <c r="I83" s="234"/>
      <c r="J83" s="234"/>
      <c r="K83" s="234"/>
      <c r="M83" s="234"/>
      <c r="N83" s="234"/>
      <c r="O83" s="238"/>
      <c r="P83" s="234"/>
      <c r="Q83" s="234"/>
      <c r="R83" s="234"/>
      <c r="S83" s="234"/>
    </row>
    <row r="84">
      <c r="A84" s="234"/>
      <c r="B84" s="234"/>
      <c r="C84" s="236"/>
      <c r="D84" s="234"/>
      <c r="E84" s="234"/>
      <c r="F84" s="234"/>
      <c r="G84" s="234"/>
      <c r="H84" s="234"/>
      <c r="I84" s="234"/>
      <c r="J84" s="234"/>
      <c r="K84" s="234"/>
      <c r="M84" s="234"/>
      <c r="N84" s="234"/>
      <c r="O84" s="238"/>
      <c r="P84" s="234"/>
      <c r="Q84" s="234"/>
      <c r="R84" s="234"/>
      <c r="S84" s="234"/>
    </row>
    <row r="85">
      <c r="A85" s="234"/>
      <c r="B85" s="234"/>
      <c r="C85" s="236"/>
      <c r="D85" s="234"/>
      <c r="E85" s="234"/>
      <c r="F85" s="234"/>
      <c r="G85" s="234"/>
      <c r="H85" s="234"/>
      <c r="I85" s="234"/>
      <c r="J85" s="234"/>
      <c r="K85" s="234"/>
      <c r="M85" s="234"/>
      <c r="N85" s="234"/>
      <c r="O85" s="238"/>
      <c r="P85" s="234"/>
      <c r="Q85" s="234"/>
      <c r="R85" s="234"/>
      <c r="S85" s="234"/>
    </row>
    <row r="86">
      <c r="A86" s="234"/>
      <c r="B86" s="234"/>
      <c r="C86" s="236"/>
      <c r="D86" s="234"/>
      <c r="E86" s="234"/>
      <c r="F86" s="234"/>
      <c r="G86" s="234"/>
      <c r="H86" s="234"/>
      <c r="I86" s="234"/>
      <c r="J86" s="234"/>
      <c r="K86" s="234"/>
      <c r="M86" s="234"/>
      <c r="N86" s="234"/>
      <c r="O86" s="238"/>
      <c r="P86" s="234"/>
      <c r="Q86" s="234"/>
      <c r="R86" s="234"/>
      <c r="S86" s="234"/>
    </row>
    <row r="87">
      <c r="A87" s="234"/>
      <c r="B87" s="234"/>
      <c r="C87" s="236"/>
      <c r="D87" s="234"/>
      <c r="E87" s="234"/>
      <c r="F87" s="234"/>
      <c r="G87" s="234"/>
      <c r="H87" s="234"/>
      <c r="I87" s="234"/>
      <c r="J87" s="234"/>
      <c r="K87" s="234"/>
      <c r="M87" s="234"/>
      <c r="N87" s="234"/>
      <c r="O87" s="238"/>
      <c r="P87" s="234"/>
      <c r="Q87" s="234"/>
      <c r="R87" s="234"/>
      <c r="S87" s="234"/>
    </row>
    <row r="88">
      <c r="A88" s="234"/>
      <c r="B88" s="234"/>
      <c r="C88" s="236"/>
      <c r="D88" s="234"/>
      <c r="E88" s="234"/>
      <c r="F88" s="234"/>
      <c r="G88" s="234"/>
      <c r="H88" s="234"/>
      <c r="I88" s="234"/>
      <c r="J88" s="234"/>
      <c r="K88" s="234"/>
      <c r="M88" s="234"/>
      <c r="N88" s="234"/>
      <c r="O88" s="238"/>
      <c r="P88" s="234"/>
      <c r="Q88" s="234"/>
      <c r="R88" s="234"/>
      <c r="S88" s="234"/>
    </row>
    <row r="89">
      <c r="A89" s="234"/>
      <c r="B89" s="234"/>
      <c r="C89" s="236"/>
      <c r="D89" s="234"/>
      <c r="E89" s="234"/>
      <c r="F89" s="234"/>
      <c r="G89" s="234"/>
      <c r="H89" s="234"/>
      <c r="I89" s="234"/>
      <c r="J89" s="234"/>
      <c r="K89" s="234"/>
      <c r="M89" s="234"/>
      <c r="N89" s="234"/>
      <c r="O89" s="238"/>
      <c r="P89" s="234"/>
      <c r="Q89" s="234"/>
      <c r="R89" s="234"/>
      <c r="S89" s="234"/>
    </row>
    <row r="90">
      <c r="A90" s="234"/>
      <c r="B90" s="234"/>
      <c r="C90" s="236"/>
      <c r="D90" s="234"/>
      <c r="E90" s="234"/>
      <c r="F90" s="234"/>
      <c r="G90" s="234"/>
      <c r="H90" s="234"/>
      <c r="I90" s="234"/>
      <c r="J90" s="234"/>
      <c r="K90" s="234"/>
      <c r="M90" s="234"/>
      <c r="N90" s="234"/>
      <c r="O90" s="238"/>
      <c r="P90" s="234"/>
      <c r="Q90" s="234"/>
      <c r="R90" s="234"/>
      <c r="S90" s="234"/>
    </row>
    <row r="91">
      <c r="A91" s="234"/>
      <c r="B91" s="234"/>
      <c r="C91" s="236"/>
      <c r="D91" s="234"/>
      <c r="E91" s="234"/>
      <c r="F91" s="234"/>
      <c r="G91" s="234"/>
      <c r="H91" s="234"/>
      <c r="I91" s="234"/>
      <c r="J91" s="234"/>
      <c r="K91" s="234"/>
      <c r="M91" s="234"/>
      <c r="N91" s="234"/>
      <c r="O91" s="238"/>
      <c r="P91" s="234"/>
      <c r="Q91" s="234"/>
      <c r="R91" s="234"/>
      <c r="S91" s="234"/>
    </row>
    <row r="92">
      <c r="A92" s="234"/>
      <c r="B92" s="234"/>
      <c r="C92" s="236"/>
      <c r="D92" s="234"/>
      <c r="E92" s="234"/>
      <c r="F92" s="234"/>
      <c r="G92" s="234"/>
      <c r="H92" s="234"/>
      <c r="I92" s="234"/>
      <c r="J92" s="234"/>
      <c r="K92" s="234"/>
      <c r="M92" s="234"/>
      <c r="N92" s="234"/>
      <c r="O92" s="238"/>
      <c r="P92" s="234"/>
      <c r="Q92" s="234"/>
      <c r="R92" s="234"/>
      <c r="S92" s="234"/>
    </row>
    <row r="93">
      <c r="A93" s="234"/>
      <c r="B93" s="234"/>
      <c r="C93" s="236"/>
      <c r="D93" s="234"/>
      <c r="E93" s="234"/>
      <c r="F93" s="234"/>
      <c r="G93" s="234"/>
      <c r="H93" s="234"/>
      <c r="I93" s="234"/>
      <c r="J93" s="234"/>
      <c r="K93" s="234"/>
      <c r="M93" s="234"/>
      <c r="N93" s="234"/>
      <c r="O93" s="238"/>
      <c r="P93" s="234"/>
      <c r="Q93" s="234"/>
      <c r="R93" s="234"/>
      <c r="S93" s="234"/>
    </row>
    <row r="94">
      <c r="A94" s="234"/>
      <c r="B94" s="234"/>
      <c r="C94" s="236"/>
      <c r="D94" s="234"/>
      <c r="E94" s="234"/>
      <c r="F94" s="234"/>
      <c r="G94" s="234"/>
      <c r="H94" s="234"/>
      <c r="I94" s="234"/>
      <c r="J94" s="234"/>
      <c r="K94" s="234"/>
      <c r="M94" s="234"/>
      <c r="N94" s="234"/>
      <c r="O94" s="238"/>
      <c r="P94" s="234"/>
      <c r="Q94" s="234"/>
      <c r="R94" s="234"/>
      <c r="S94" s="234"/>
    </row>
    <row r="95">
      <c r="A95" s="234"/>
      <c r="B95" s="234"/>
      <c r="C95" s="236"/>
      <c r="D95" s="234"/>
      <c r="E95" s="234"/>
      <c r="F95" s="234"/>
      <c r="G95" s="234"/>
      <c r="H95" s="234"/>
      <c r="I95" s="234"/>
      <c r="J95" s="234"/>
      <c r="K95" s="234"/>
      <c r="M95" s="234"/>
      <c r="N95" s="234"/>
      <c r="O95" s="238"/>
      <c r="P95" s="234"/>
      <c r="Q95" s="234"/>
      <c r="R95" s="234"/>
      <c r="S95" s="234"/>
    </row>
    <row r="96">
      <c r="A96" s="234"/>
      <c r="B96" s="234"/>
      <c r="C96" s="236"/>
      <c r="D96" s="234"/>
      <c r="E96" s="234"/>
      <c r="F96" s="234"/>
      <c r="G96" s="234"/>
      <c r="H96" s="234"/>
      <c r="I96" s="234"/>
      <c r="J96" s="234"/>
      <c r="K96" s="234"/>
      <c r="M96" s="234"/>
      <c r="N96" s="234"/>
      <c r="O96" s="238"/>
      <c r="P96" s="234"/>
      <c r="Q96" s="234"/>
      <c r="R96" s="234"/>
      <c r="S96" s="234"/>
    </row>
    <row r="97">
      <c r="A97" s="234"/>
      <c r="B97" s="234"/>
      <c r="C97" s="236"/>
      <c r="D97" s="234"/>
      <c r="E97" s="234"/>
      <c r="F97" s="234"/>
      <c r="G97" s="234"/>
      <c r="H97" s="234"/>
      <c r="I97" s="234"/>
      <c r="J97" s="234"/>
      <c r="K97" s="234"/>
      <c r="M97" s="234"/>
      <c r="N97" s="234"/>
      <c r="O97" s="238"/>
      <c r="P97" s="234"/>
      <c r="Q97" s="234"/>
      <c r="R97" s="234"/>
      <c r="S97" s="234"/>
    </row>
    <row r="98">
      <c r="A98" s="234"/>
      <c r="B98" s="234"/>
      <c r="C98" s="236"/>
      <c r="D98" s="234"/>
      <c r="E98" s="234"/>
      <c r="F98" s="234"/>
      <c r="G98" s="234"/>
      <c r="H98" s="234"/>
      <c r="I98" s="234"/>
      <c r="J98" s="234"/>
      <c r="K98" s="234"/>
      <c r="M98" s="234"/>
      <c r="N98" s="234"/>
      <c r="O98" s="238"/>
      <c r="P98" s="234"/>
      <c r="Q98" s="234"/>
      <c r="R98" s="234"/>
      <c r="S98" s="234"/>
    </row>
    <row r="99">
      <c r="A99" s="234"/>
      <c r="B99" s="234"/>
      <c r="C99" s="236"/>
      <c r="D99" s="234"/>
      <c r="E99" s="234"/>
      <c r="F99" s="234"/>
      <c r="G99" s="234"/>
      <c r="H99" s="234"/>
      <c r="I99" s="234"/>
      <c r="J99" s="234"/>
      <c r="K99" s="234"/>
      <c r="M99" s="234"/>
      <c r="N99" s="234"/>
      <c r="O99" s="238"/>
      <c r="P99" s="234"/>
      <c r="Q99" s="234"/>
      <c r="R99" s="234"/>
      <c r="S99" s="234"/>
    </row>
    <row r="100">
      <c r="A100" s="234"/>
      <c r="B100" s="234"/>
      <c r="C100" s="236"/>
      <c r="D100" s="234"/>
      <c r="E100" s="234"/>
      <c r="F100" s="234"/>
      <c r="G100" s="234"/>
      <c r="H100" s="234"/>
      <c r="I100" s="234"/>
      <c r="J100" s="234"/>
      <c r="K100" s="234"/>
      <c r="M100" s="234"/>
      <c r="N100" s="234"/>
      <c r="O100" s="238"/>
      <c r="P100" s="234"/>
      <c r="Q100" s="234"/>
      <c r="R100" s="234"/>
      <c r="S100" s="234"/>
    </row>
    <row r="101">
      <c r="A101" s="234"/>
      <c r="B101" s="234"/>
      <c r="C101" s="236"/>
      <c r="D101" s="234"/>
      <c r="E101" s="234"/>
      <c r="F101" s="234"/>
      <c r="G101" s="234"/>
      <c r="H101" s="234"/>
      <c r="I101" s="234"/>
      <c r="J101" s="234"/>
      <c r="K101" s="234"/>
      <c r="M101" s="234"/>
      <c r="N101" s="234"/>
      <c r="O101" s="238"/>
      <c r="P101" s="234"/>
      <c r="Q101" s="234"/>
      <c r="R101" s="234"/>
      <c r="S101" s="234"/>
    </row>
    <row r="102">
      <c r="A102" s="234"/>
      <c r="B102" s="234"/>
      <c r="C102" s="236"/>
      <c r="D102" s="234"/>
      <c r="E102" s="234"/>
      <c r="F102" s="234"/>
      <c r="G102" s="234"/>
      <c r="H102" s="234"/>
      <c r="I102" s="234"/>
      <c r="J102" s="234"/>
      <c r="K102" s="234"/>
      <c r="M102" s="234"/>
      <c r="N102" s="234"/>
      <c r="O102" s="238"/>
      <c r="P102" s="234"/>
      <c r="Q102" s="234"/>
      <c r="R102" s="234"/>
      <c r="S102" s="234"/>
    </row>
    <row r="103">
      <c r="A103" s="234"/>
      <c r="B103" s="234"/>
      <c r="C103" s="236"/>
      <c r="D103" s="234"/>
      <c r="E103" s="234"/>
      <c r="F103" s="234"/>
      <c r="G103" s="234"/>
      <c r="H103" s="234"/>
      <c r="I103" s="234"/>
      <c r="J103" s="234"/>
      <c r="K103" s="234"/>
      <c r="M103" s="234"/>
      <c r="N103" s="234"/>
      <c r="O103" s="238"/>
      <c r="P103" s="234"/>
      <c r="Q103" s="234"/>
      <c r="R103" s="234"/>
      <c r="S103" s="234"/>
    </row>
    <row r="104">
      <c r="A104" s="234"/>
      <c r="B104" s="234"/>
      <c r="C104" s="236"/>
      <c r="D104" s="234"/>
      <c r="E104" s="234"/>
      <c r="F104" s="234"/>
      <c r="G104" s="234"/>
      <c r="H104" s="234"/>
      <c r="I104" s="234"/>
      <c r="J104" s="234"/>
      <c r="K104" s="234"/>
      <c r="M104" s="234"/>
      <c r="N104" s="234"/>
      <c r="O104" s="238"/>
      <c r="P104" s="234"/>
      <c r="Q104" s="234"/>
      <c r="R104" s="234"/>
      <c r="S104" s="234"/>
    </row>
    <row r="105">
      <c r="A105" s="234"/>
      <c r="B105" s="234"/>
      <c r="C105" s="236"/>
      <c r="D105" s="234"/>
      <c r="E105" s="234"/>
      <c r="F105" s="234"/>
      <c r="G105" s="234"/>
      <c r="H105" s="234"/>
      <c r="I105" s="234"/>
      <c r="J105" s="234"/>
      <c r="K105" s="234"/>
      <c r="M105" s="234"/>
      <c r="N105" s="234"/>
      <c r="O105" s="238"/>
      <c r="P105" s="234"/>
      <c r="Q105" s="234"/>
      <c r="R105" s="234"/>
      <c r="S105" s="234"/>
    </row>
    <row r="106">
      <c r="A106" s="234"/>
      <c r="B106" s="234"/>
      <c r="C106" s="236"/>
      <c r="D106" s="234"/>
      <c r="E106" s="234"/>
      <c r="F106" s="234"/>
      <c r="G106" s="234"/>
      <c r="H106" s="234"/>
      <c r="I106" s="234"/>
      <c r="J106" s="234"/>
      <c r="K106" s="234"/>
      <c r="M106" s="234"/>
      <c r="N106" s="234"/>
      <c r="O106" s="238"/>
      <c r="P106" s="234"/>
      <c r="Q106" s="234"/>
      <c r="R106" s="234"/>
      <c r="S106" s="234"/>
    </row>
    <row r="107">
      <c r="A107" s="234"/>
      <c r="B107" s="234"/>
      <c r="C107" s="236"/>
      <c r="D107" s="234"/>
      <c r="E107" s="234"/>
      <c r="F107" s="234"/>
      <c r="G107" s="234"/>
      <c r="H107" s="234"/>
      <c r="I107" s="234"/>
      <c r="J107" s="234"/>
      <c r="K107" s="234"/>
      <c r="M107" s="234"/>
      <c r="N107" s="234"/>
      <c r="O107" s="238"/>
      <c r="P107" s="234"/>
      <c r="Q107" s="234"/>
      <c r="R107" s="234"/>
      <c r="S107" s="234"/>
    </row>
    <row r="108">
      <c r="A108" s="234"/>
      <c r="B108" s="234"/>
      <c r="C108" s="236"/>
      <c r="D108" s="234"/>
      <c r="E108" s="234"/>
      <c r="F108" s="234"/>
      <c r="G108" s="234"/>
      <c r="H108" s="234"/>
      <c r="I108" s="234"/>
      <c r="J108" s="234"/>
      <c r="K108" s="234"/>
      <c r="M108" s="234"/>
      <c r="N108" s="234"/>
      <c r="O108" s="238"/>
      <c r="P108" s="234"/>
      <c r="Q108" s="234"/>
      <c r="R108" s="234"/>
      <c r="S108" s="234"/>
    </row>
    <row r="109">
      <c r="A109" s="234"/>
      <c r="B109" s="234"/>
      <c r="C109" s="236"/>
      <c r="D109" s="234"/>
      <c r="E109" s="234"/>
      <c r="F109" s="234"/>
      <c r="G109" s="234"/>
      <c r="H109" s="234"/>
      <c r="I109" s="234"/>
      <c r="J109" s="234"/>
      <c r="K109" s="234"/>
      <c r="M109" s="234"/>
      <c r="N109" s="234"/>
      <c r="O109" s="238"/>
      <c r="P109" s="234"/>
      <c r="Q109" s="234"/>
      <c r="R109" s="234"/>
      <c r="S109" s="234"/>
    </row>
    <row r="110">
      <c r="A110" s="234"/>
      <c r="B110" s="234"/>
      <c r="C110" s="236"/>
      <c r="D110" s="234"/>
      <c r="E110" s="234"/>
      <c r="F110" s="234"/>
      <c r="G110" s="234"/>
      <c r="H110" s="234"/>
      <c r="I110" s="234"/>
      <c r="J110" s="234"/>
      <c r="K110" s="234"/>
      <c r="M110" s="234"/>
      <c r="N110" s="234"/>
      <c r="O110" s="238"/>
      <c r="P110" s="234"/>
      <c r="Q110" s="234"/>
      <c r="R110" s="234"/>
      <c r="S110" s="234"/>
    </row>
    <row r="111">
      <c r="A111" s="234"/>
      <c r="B111" s="234"/>
      <c r="C111" s="236"/>
      <c r="D111" s="234"/>
      <c r="E111" s="234"/>
      <c r="F111" s="234"/>
      <c r="G111" s="234"/>
      <c r="H111" s="234"/>
      <c r="I111" s="234"/>
      <c r="J111" s="234"/>
      <c r="K111" s="234"/>
      <c r="M111" s="234"/>
      <c r="N111" s="234"/>
      <c r="O111" s="238"/>
      <c r="P111" s="234"/>
      <c r="Q111" s="234"/>
      <c r="R111" s="234"/>
      <c r="S111" s="234"/>
    </row>
    <row r="112">
      <c r="A112" s="234"/>
      <c r="B112" s="234"/>
      <c r="C112" s="236"/>
      <c r="D112" s="234"/>
      <c r="E112" s="234"/>
      <c r="F112" s="234"/>
      <c r="G112" s="234"/>
      <c r="H112" s="234"/>
      <c r="I112" s="234"/>
      <c r="J112" s="234"/>
      <c r="K112" s="234"/>
      <c r="M112" s="234"/>
      <c r="N112" s="234"/>
      <c r="O112" s="238"/>
      <c r="P112" s="234"/>
      <c r="Q112" s="234"/>
      <c r="R112" s="234"/>
      <c r="S112" s="234"/>
    </row>
    <row r="113">
      <c r="A113" s="234"/>
      <c r="B113" s="234"/>
      <c r="C113" s="236"/>
      <c r="D113" s="234"/>
      <c r="E113" s="234"/>
      <c r="F113" s="234"/>
      <c r="G113" s="234"/>
      <c r="H113" s="234"/>
      <c r="I113" s="234"/>
      <c r="J113" s="234"/>
      <c r="K113" s="234"/>
      <c r="M113" s="234"/>
      <c r="N113" s="234"/>
      <c r="O113" s="238"/>
      <c r="P113" s="234"/>
      <c r="Q113" s="234"/>
      <c r="R113" s="234"/>
      <c r="S113" s="234"/>
    </row>
    <row r="114">
      <c r="A114" s="234"/>
      <c r="B114" s="234"/>
      <c r="C114" s="236"/>
      <c r="D114" s="234"/>
      <c r="E114" s="234"/>
      <c r="F114" s="234"/>
      <c r="G114" s="234"/>
      <c r="H114" s="234"/>
      <c r="I114" s="234"/>
      <c r="J114" s="234"/>
      <c r="K114" s="234"/>
      <c r="M114" s="234"/>
      <c r="N114" s="234"/>
      <c r="O114" s="238"/>
      <c r="P114" s="234"/>
      <c r="Q114" s="234"/>
      <c r="R114" s="234"/>
      <c r="S114" s="234"/>
    </row>
    <row r="115">
      <c r="A115" s="234"/>
      <c r="B115" s="234"/>
      <c r="C115" s="236"/>
      <c r="D115" s="234"/>
      <c r="E115" s="234"/>
      <c r="F115" s="234"/>
      <c r="G115" s="234"/>
      <c r="H115" s="234"/>
      <c r="I115" s="234"/>
      <c r="J115" s="234"/>
      <c r="K115" s="234"/>
      <c r="M115" s="234"/>
      <c r="N115" s="234"/>
      <c r="O115" s="238"/>
      <c r="P115" s="234"/>
      <c r="Q115" s="234"/>
      <c r="R115" s="234"/>
      <c r="S115" s="234"/>
    </row>
    <row r="116">
      <c r="A116" s="234"/>
      <c r="B116" s="234"/>
      <c r="C116" s="236"/>
      <c r="D116" s="234"/>
      <c r="E116" s="234"/>
      <c r="F116" s="234"/>
      <c r="G116" s="234"/>
      <c r="H116" s="234"/>
      <c r="I116" s="234"/>
      <c r="J116" s="234"/>
      <c r="K116" s="234"/>
      <c r="M116" s="234"/>
      <c r="N116" s="234"/>
      <c r="O116" s="238"/>
      <c r="P116" s="234"/>
      <c r="Q116" s="234"/>
      <c r="R116" s="234"/>
      <c r="S116" s="234"/>
    </row>
    <row r="117">
      <c r="A117" s="234"/>
      <c r="B117" s="234"/>
      <c r="C117" s="236"/>
      <c r="D117" s="234"/>
      <c r="E117" s="234"/>
      <c r="F117" s="234"/>
      <c r="G117" s="234"/>
      <c r="H117" s="234"/>
      <c r="I117" s="234"/>
      <c r="J117" s="234"/>
      <c r="K117" s="234"/>
      <c r="M117" s="234"/>
      <c r="N117" s="234"/>
      <c r="O117" s="238"/>
      <c r="P117" s="234"/>
      <c r="Q117" s="234"/>
      <c r="R117" s="234"/>
      <c r="S117" s="234"/>
    </row>
    <row r="118">
      <c r="A118" s="234"/>
      <c r="B118" s="234"/>
      <c r="C118" s="236"/>
      <c r="D118" s="234"/>
      <c r="E118" s="234"/>
      <c r="F118" s="234"/>
      <c r="G118" s="234"/>
      <c r="H118" s="234"/>
      <c r="I118" s="234"/>
      <c r="J118" s="234"/>
      <c r="K118" s="234"/>
      <c r="M118" s="234"/>
      <c r="N118" s="234"/>
      <c r="O118" s="238"/>
      <c r="P118" s="234"/>
      <c r="Q118" s="234"/>
      <c r="R118" s="234"/>
      <c r="S118" s="234"/>
    </row>
    <row r="119">
      <c r="A119" s="234"/>
      <c r="B119" s="234"/>
      <c r="C119" s="236"/>
      <c r="D119" s="234"/>
      <c r="E119" s="234"/>
      <c r="F119" s="234"/>
      <c r="G119" s="234"/>
      <c r="H119" s="234"/>
      <c r="I119" s="234"/>
      <c r="J119" s="234"/>
      <c r="K119" s="234"/>
      <c r="M119" s="234"/>
      <c r="N119" s="234"/>
      <c r="O119" s="238"/>
      <c r="P119" s="234"/>
      <c r="Q119" s="234"/>
      <c r="R119" s="234"/>
      <c r="S119" s="234"/>
    </row>
    <row r="120">
      <c r="A120" s="234"/>
      <c r="B120" s="234"/>
      <c r="C120" s="236"/>
      <c r="D120" s="234"/>
      <c r="E120" s="234"/>
      <c r="F120" s="234"/>
      <c r="G120" s="234"/>
      <c r="H120" s="234"/>
      <c r="I120" s="234"/>
      <c r="J120" s="234"/>
      <c r="K120" s="234"/>
      <c r="M120" s="234"/>
      <c r="N120" s="234"/>
      <c r="O120" s="238"/>
      <c r="P120" s="234"/>
      <c r="Q120" s="234"/>
      <c r="R120" s="234"/>
      <c r="S120" s="234"/>
    </row>
    <row r="121">
      <c r="A121" s="234"/>
      <c r="B121" s="234"/>
      <c r="C121" s="236"/>
      <c r="D121" s="234"/>
      <c r="E121" s="234"/>
      <c r="F121" s="234"/>
      <c r="G121" s="234"/>
      <c r="H121" s="234"/>
      <c r="I121" s="234"/>
      <c r="J121" s="234"/>
      <c r="K121" s="234"/>
      <c r="M121" s="234"/>
      <c r="N121" s="234"/>
      <c r="O121" s="238"/>
      <c r="P121" s="234"/>
      <c r="Q121" s="234"/>
      <c r="R121" s="234"/>
      <c r="S121" s="234"/>
    </row>
    <row r="122">
      <c r="A122" s="234"/>
      <c r="B122" s="234"/>
      <c r="C122" s="236"/>
      <c r="D122" s="234"/>
      <c r="E122" s="234"/>
      <c r="F122" s="234"/>
      <c r="G122" s="234"/>
      <c r="H122" s="234"/>
      <c r="I122" s="234"/>
      <c r="J122" s="234"/>
      <c r="K122" s="234"/>
      <c r="M122" s="234"/>
      <c r="N122" s="234"/>
      <c r="O122" s="238"/>
      <c r="P122" s="234"/>
      <c r="Q122" s="234"/>
      <c r="R122" s="234"/>
      <c r="S122" s="234"/>
    </row>
    <row r="123">
      <c r="A123" s="234"/>
      <c r="B123" s="234"/>
      <c r="C123" s="236"/>
      <c r="D123" s="234"/>
      <c r="E123" s="234"/>
      <c r="F123" s="234"/>
      <c r="G123" s="234"/>
      <c r="H123" s="234"/>
      <c r="I123" s="234"/>
      <c r="J123" s="234"/>
      <c r="K123" s="234"/>
      <c r="M123" s="234"/>
      <c r="N123" s="234"/>
      <c r="O123" s="238"/>
      <c r="P123" s="234"/>
      <c r="Q123" s="234"/>
      <c r="R123" s="234"/>
      <c r="S123" s="234"/>
    </row>
    <row r="124">
      <c r="A124" s="234"/>
      <c r="B124" s="234"/>
      <c r="C124" s="236"/>
      <c r="D124" s="234"/>
      <c r="E124" s="234"/>
      <c r="F124" s="234"/>
      <c r="G124" s="234"/>
      <c r="H124" s="234"/>
      <c r="I124" s="234"/>
      <c r="J124" s="234"/>
      <c r="K124" s="234"/>
      <c r="M124" s="234"/>
      <c r="N124" s="234"/>
      <c r="O124" s="238"/>
      <c r="P124" s="234"/>
      <c r="Q124" s="234"/>
      <c r="R124" s="234"/>
      <c r="S124" s="234"/>
    </row>
    <row r="125">
      <c r="A125" s="234"/>
      <c r="B125" s="234"/>
      <c r="C125" s="236"/>
      <c r="D125" s="234"/>
      <c r="E125" s="234"/>
      <c r="F125" s="234"/>
      <c r="G125" s="234"/>
      <c r="H125" s="234"/>
      <c r="I125" s="234"/>
      <c r="J125" s="234"/>
      <c r="K125" s="234"/>
      <c r="M125" s="234"/>
      <c r="N125" s="234"/>
      <c r="O125" s="238"/>
      <c r="P125" s="234"/>
      <c r="Q125" s="234"/>
      <c r="R125" s="234"/>
      <c r="S125" s="234"/>
    </row>
    <row r="126">
      <c r="A126" s="234"/>
      <c r="B126" s="234"/>
      <c r="C126" s="236"/>
      <c r="D126" s="234"/>
      <c r="E126" s="234"/>
      <c r="F126" s="234"/>
      <c r="G126" s="234"/>
      <c r="H126" s="234"/>
      <c r="I126" s="234"/>
      <c r="J126" s="234"/>
      <c r="K126" s="234"/>
      <c r="M126" s="234"/>
      <c r="N126" s="234"/>
      <c r="O126" s="238"/>
      <c r="P126" s="234"/>
      <c r="Q126" s="234"/>
      <c r="R126" s="234"/>
      <c r="S126" s="234"/>
    </row>
    <row r="127">
      <c r="A127" s="234"/>
      <c r="B127" s="234"/>
      <c r="C127" s="236"/>
      <c r="D127" s="234"/>
      <c r="E127" s="234"/>
      <c r="F127" s="234"/>
      <c r="G127" s="234"/>
      <c r="H127" s="234"/>
      <c r="I127" s="234"/>
      <c r="J127" s="234"/>
      <c r="K127" s="234"/>
      <c r="M127" s="234"/>
      <c r="N127" s="234"/>
      <c r="O127" s="238"/>
      <c r="P127" s="234"/>
      <c r="Q127" s="234"/>
      <c r="R127" s="234"/>
      <c r="S127" s="234"/>
    </row>
    <row r="128">
      <c r="A128" s="234"/>
      <c r="B128" s="234"/>
      <c r="C128" s="236"/>
      <c r="D128" s="234"/>
      <c r="E128" s="234"/>
      <c r="F128" s="234"/>
      <c r="G128" s="234"/>
      <c r="H128" s="234"/>
      <c r="I128" s="234"/>
      <c r="J128" s="234"/>
      <c r="K128" s="234"/>
      <c r="M128" s="234"/>
      <c r="N128" s="234"/>
      <c r="O128" s="238"/>
      <c r="P128" s="234"/>
      <c r="Q128" s="234"/>
      <c r="R128" s="234"/>
      <c r="S128" s="234"/>
    </row>
    <row r="129">
      <c r="A129" s="234"/>
      <c r="B129" s="234"/>
      <c r="C129" s="236"/>
      <c r="D129" s="234"/>
      <c r="E129" s="234"/>
      <c r="F129" s="234"/>
      <c r="G129" s="234"/>
      <c r="H129" s="234"/>
      <c r="I129" s="234"/>
      <c r="J129" s="234"/>
      <c r="K129" s="234"/>
      <c r="M129" s="234"/>
      <c r="N129" s="234"/>
      <c r="O129" s="238"/>
      <c r="P129" s="234"/>
      <c r="Q129" s="234"/>
      <c r="R129" s="234"/>
      <c r="S129" s="234"/>
    </row>
    <row r="130">
      <c r="A130" s="234"/>
      <c r="B130" s="234"/>
      <c r="C130" s="236"/>
      <c r="D130" s="234"/>
      <c r="E130" s="234"/>
      <c r="F130" s="234"/>
      <c r="G130" s="234"/>
      <c r="H130" s="234"/>
      <c r="I130" s="234"/>
      <c r="J130" s="234"/>
      <c r="K130" s="234"/>
      <c r="M130" s="234"/>
      <c r="N130" s="234"/>
      <c r="O130" s="238"/>
      <c r="P130" s="234"/>
      <c r="Q130" s="234"/>
      <c r="R130" s="234"/>
      <c r="S130" s="234"/>
    </row>
    <row r="131">
      <c r="A131" s="234"/>
      <c r="B131" s="234"/>
      <c r="C131" s="236"/>
      <c r="D131" s="234"/>
      <c r="E131" s="234"/>
      <c r="F131" s="234"/>
      <c r="G131" s="234"/>
      <c r="H131" s="234"/>
      <c r="I131" s="234"/>
      <c r="J131" s="234"/>
      <c r="K131" s="234"/>
      <c r="M131" s="234"/>
      <c r="N131" s="234"/>
      <c r="O131" s="238"/>
      <c r="P131" s="234"/>
      <c r="Q131" s="234"/>
      <c r="R131" s="234"/>
      <c r="S131" s="234"/>
    </row>
    <row r="132">
      <c r="A132" s="234"/>
      <c r="B132" s="234"/>
      <c r="C132" s="236"/>
      <c r="D132" s="234"/>
      <c r="E132" s="234"/>
      <c r="F132" s="234"/>
      <c r="G132" s="234"/>
      <c r="H132" s="234"/>
      <c r="I132" s="234"/>
      <c r="J132" s="234"/>
      <c r="K132" s="234"/>
      <c r="M132" s="234"/>
      <c r="N132" s="234"/>
      <c r="O132" s="238"/>
      <c r="P132" s="234"/>
      <c r="Q132" s="234"/>
      <c r="R132" s="234"/>
      <c r="S132" s="234"/>
    </row>
    <row r="133">
      <c r="A133" s="234"/>
      <c r="B133" s="234"/>
      <c r="C133" s="236"/>
      <c r="D133" s="234"/>
      <c r="E133" s="234"/>
      <c r="F133" s="234"/>
      <c r="G133" s="234"/>
      <c r="H133" s="234"/>
      <c r="I133" s="234"/>
      <c r="J133" s="234"/>
      <c r="K133" s="234"/>
      <c r="M133" s="234"/>
      <c r="N133" s="234"/>
      <c r="O133" s="238"/>
      <c r="P133" s="234"/>
      <c r="Q133" s="234"/>
      <c r="R133" s="234"/>
      <c r="S133" s="234"/>
    </row>
    <row r="134">
      <c r="A134" s="234"/>
      <c r="B134" s="234"/>
      <c r="C134" s="236"/>
      <c r="D134" s="234"/>
      <c r="E134" s="234"/>
      <c r="F134" s="234"/>
      <c r="G134" s="234"/>
      <c r="H134" s="234"/>
      <c r="I134" s="234"/>
      <c r="J134" s="234"/>
      <c r="K134" s="234"/>
      <c r="M134" s="234"/>
      <c r="N134" s="234"/>
      <c r="O134" s="238"/>
      <c r="P134" s="234"/>
      <c r="Q134" s="234"/>
      <c r="R134" s="234"/>
      <c r="S134" s="234"/>
    </row>
    <row r="135">
      <c r="A135" s="234"/>
      <c r="B135" s="234"/>
      <c r="C135" s="236"/>
      <c r="D135" s="234"/>
      <c r="E135" s="234"/>
      <c r="F135" s="234"/>
      <c r="G135" s="234"/>
      <c r="H135" s="234"/>
      <c r="I135" s="234"/>
      <c r="J135" s="234"/>
      <c r="K135" s="234"/>
      <c r="M135" s="234"/>
      <c r="N135" s="234"/>
      <c r="O135" s="238"/>
      <c r="P135" s="234"/>
      <c r="Q135" s="234"/>
      <c r="R135" s="234"/>
      <c r="S135" s="234"/>
    </row>
    <row r="136">
      <c r="A136" s="234"/>
      <c r="B136" s="234"/>
      <c r="C136" s="236"/>
      <c r="D136" s="234"/>
      <c r="E136" s="234"/>
      <c r="F136" s="234"/>
      <c r="G136" s="234"/>
      <c r="H136" s="234"/>
      <c r="I136" s="234"/>
      <c r="J136" s="234"/>
      <c r="K136" s="234"/>
      <c r="M136" s="234"/>
      <c r="N136" s="234"/>
      <c r="O136" s="238"/>
      <c r="P136" s="234"/>
      <c r="Q136" s="234"/>
      <c r="R136" s="234"/>
      <c r="S136" s="234"/>
    </row>
    <row r="137">
      <c r="A137" s="234"/>
      <c r="B137" s="234"/>
      <c r="C137" s="236"/>
      <c r="D137" s="234"/>
      <c r="E137" s="234"/>
      <c r="F137" s="234"/>
      <c r="G137" s="234"/>
      <c r="H137" s="234"/>
      <c r="I137" s="234"/>
      <c r="J137" s="234"/>
      <c r="K137" s="234"/>
      <c r="M137" s="234"/>
      <c r="N137" s="234"/>
      <c r="O137" s="238"/>
      <c r="P137" s="234"/>
      <c r="Q137" s="234"/>
      <c r="R137" s="234"/>
      <c r="S137" s="234"/>
    </row>
    <row r="138">
      <c r="A138" s="234"/>
      <c r="B138" s="234"/>
      <c r="C138" s="236"/>
      <c r="D138" s="234"/>
      <c r="E138" s="234"/>
      <c r="F138" s="234"/>
      <c r="G138" s="234"/>
      <c r="H138" s="234"/>
      <c r="I138" s="234"/>
      <c r="J138" s="234"/>
      <c r="K138" s="234"/>
      <c r="M138" s="234"/>
      <c r="N138" s="234"/>
      <c r="O138" s="238"/>
      <c r="P138" s="234"/>
      <c r="Q138" s="234"/>
      <c r="R138" s="234"/>
      <c r="S138" s="234"/>
    </row>
    <row r="139">
      <c r="A139" s="234"/>
      <c r="B139" s="234"/>
      <c r="C139" s="236"/>
      <c r="D139" s="234"/>
      <c r="E139" s="234"/>
      <c r="F139" s="234"/>
      <c r="G139" s="234"/>
      <c r="H139" s="234"/>
      <c r="I139" s="234"/>
      <c r="J139" s="234"/>
      <c r="K139" s="234"/>
      <c r="M139" s="234"/>
      <c r="N139" s="234"/>
      <c r="O139" s="238"/>
      <c r="P139" s="234"/>
      <c r="Q139" s="234"/>
      <c r="R139" s="234"/>
      <c r="S139" s="234"/>
    </row>
    <row r="140">
      <c r="A140" s="234"/>
      <c r="B140" s="234"/>
      <c r="C140" s="236"/>
      <c r="D140" s="234"/>
      <c r="E140" s="234"/>
      <c r="F140" s="234"/>
      <c r="G140" s="234"/>
      <c r="H140" s="234"/>
      <c r="I140" s="234"/>
      <c r="J140" s="234"/>
      <c r="K140" s="234"/>
      <c r="M140" s="234"/>
      <c r="N140" s="234"/>
      <c r="O140" s="238"/>
      <c r="P140" s="234"/>
      <c r="Q140" s="234"/>
      <c r="R140" s="234"/>
      <c r="S140" s="234"/>
    </row>
    <row r="141">
      <c r="A141" s="234"/>
      <c r="B141" s="234"/>
      <c r="C141" s="236"/>
      <c r="D141" s="234"/>
      <c r="E141" s="234"/>
      <c r="F141" s="234"/>
      <c r="G141" s="234"/>
      <c r="H141" s="234"/>
      <c r="I141" s="234"/>
      <c r="J141" s="234"/>
      <c r="K141" s="234"/>
      <c r="M141" s="234"/>
      <c r="N141" s="234"/>
      <c r="O141" s="238"/>
      <c r="P141" s="234"/>
      <c r="Q141" s="234"/>
      <c r="R141" s="234"/>
      <c r="S141" s="234"/>
    </row>
    <row r="142">
      <c r="A142" s="234"/>
      <c r="B142" s="234"/>
      <c r="C142" s="236"/>
      <c r="D142" s="234"/>
      <c r="E142" s="234"/>
      <c r="F142" s="234"/>
      <c r="G142" s="234"/>
      <c r="H142" s="234"/>
      <c r="I142" s="234"/>
      <c r="J142" s="234"/>
      <c r="K142" s="234"/>
      <c r="M142" s="234"/>
      <c r="N142" s="234"/>
      <c r="O142" s="238"/>
      <c r="P142" s="234"/>
      <c r="Q142" s="234"/>
      <c r="R142" s="234"/>
      <c r="S142" s="234"/>
    </row>
    <row r="143">
      <c r="A143" s="234"/>
      <c r="B143" s="234"/>
      <c r="C143" s="236"/>
      <c r="D143" s="234"/>
      <c r="E143" s="234"/>
      <c r="F143" s="234"/>
      <c r="G143" s="234"/>
      <c r="H143" s="234"/>
      <c r="I143" s="234"/>
      <c r="J143" s="234"/>
      <c r="K143" s="234"/>
      <c r="M143" s="234"/>
      <c r="N143" s="234"/>
      <c r="O143" s="238"/>
      <c r="P143" s="234"/>
      <c r="Q143" s="234"/>
      <c r="R143" s="234"/>
      <c r="S143" s="234"/>
    </row>
    <row r="144">
      <c r="A144" s="234"/>
      <c r="B144" s="234"/>
      <c r="C144" s="236"/>
      <c r="D144" s="234"/>
      <c r="E144" s="234"/>
      <c r="F144" s="234"/>
      <c r="G144" s="234"/>
      <c r="H144" s="234"/>
      <c r="I144" s="234"/>
      <c r="J144" s="234"/>
      <c r="K144" s="234"/>
      <c r="M144" s="234"/>
      <c r="N144" s="234"/>
      <c r="O144" s="238"/>
      <c r="P144" s="234"/>
      <c r="Q144" s="234"/>
      <c r="R144" s="234"/>
      <c r="S144" s="234"/>
    </row>
    <row r="145">
      <c r="A145" s="234"/>
      <c r="B145" s="234"/>
      <c r="C145" s="236"/>
      <c r="D145" s="234"/>
      <c r="E145" s="234"/>
      <c r="F145" s="234"/>
      <c r="G145" s="234"/>
      <c r="H145" s="234"/>
      <c r="I145" s="234"/>
      <c r="J145" s="234"/>
      <c r="K145" s="234"/>
      <c r="M145" s="234"/>
      <c r="N145" s="234"/>
      <c r="O145" s="238"/>
      <c r="P145" s="234"/>
      <c r="Q145" s="234"/>
      <c r="R145" s="234"/>
      <c r="S145" s="234"/>
    </row>
    <row r="146">
      <c r="A146" s="234"/>
      <c r="B146" s="234"/>
      <c r="C146" s="236"/>
      <c r="D146" s="234"/>
      <c r="E146" s="234"/>
      <c r="F146" s="234"/>
      <c r="G146" s="234"/>
      <c r="H146" s="234"/>
      <c r="I146" s="234"/>
      <c r="J146" s="234"/>
      <c r="K146" s="234"/>
      <c r="M146" s="234"/>
      <c r="N146" s="234"/>
      <c r="O146" s="238"/>
      <c r="P146" s="234"/>
      <c r="Q146" s="234"/>
      <c r="R146" s="234"/>
      <c r="S146" s="234"/>
    </row>
    <row r="147">
      <c r="A147" s="234"/>
      <c r="B147" s="234"/>
      <c r="C147" s="236"/>
      <c r="D147" s="234"/>
      <c r="E147" s="234"/>
      <c r="F147" s="234"/>
      <c r="G147" s="234"/>
      <c r="H147" s="234"/>
      <c r="I147" s="234"/>
      <c r="J147" s="234"/>
      <c r="K147" s="234"/>
      <c r="M147" s="234"/>
      <c r="N147" s="234"/>
      <c r="O147" s="238"/>
      <c r="P147" s="234"/>
      <c r="Q147" s="234"/>
      <c r="R147" s="234"/>
      <c r="S147" s="234"/>
    </row>
    <row r="148">
      <c r="A148" s="234"/>
      <c r="B148" s="234"/>
      <c r="C148" s="236"/>
      <c r="D148" s="234"/>
      <c r="E148" s="234"/>
      <c r="F148" s="234"/>
      <c r="G148" s="234"/>
      <c r="H148" s="234"/>
      <c r="I148" s="234"/>
      <c r="J148" s="234"/>
      <c r="K148" s="234"/>
      <c r="M148" s="234"/>
      <c r="N148" s="234"/>
      <c r="O148" s="238"/>
      <c r="P148" s="234"/>
      <c r="Q148" s="234"/>
      <c r="R148" s="234"/>
      <c r="S148" s="234"/>
    </row>
    <row r="149">
      <c r="A149" s="234"/>
      <c r="B149" s="234"/>
      <c r="C149" s="236"/>
      <c r="D149" s="234"/>
      <c r="E149" s="234"/>
      <c r="F149" s="234"/>
      <c r="G149" s="234"/>
      <c r="H149" s="234"/>
      <c r="I149" s="234"/>
      <c r="J149" s="234"/>
      <c r="K149" s="234"/>
      <c r="M149" s="234"/>
      <c r="N149" s="234"/>
      <c r="O149" s="238"/>
      <c r="P149" s="234"/>
      <c r="Q149" s="234"/>
      <c r="R149" s="234"/>
      <c r="S149" s="234"/>
    </row>
    <row r="150">
      <c r="A150" s="234"/>
      <c r="B150" s="234"/>
      <c r="C150" s="236"/>
      <c r="D150" s="234"/>
      <c r="E150" s="234"/>
      <c r="F150" s="234"/>
      <c r="G150" s="234"/>
      <c r="H150" s="234"/>
      <c r="I150" s="234"/>
      <c r="J150" s="234"/>
      <c r="K150" s="234"/>
      <c r="M150" s="234"/>
      <c r="N150" s="234"/>
      <c r="O150" s="238"/>
      <c r="P150" s="234"/>
      <c r="Q150" s="234"/>
      <c r="R150" s="234"/>
      <c r="S150" s="234"/>
    </row>
    <row r="151">
      <c r="A151" s="234"/>
      <c r="B151" s="234"/>
      <c r="C151" s="236"/>
      <c r="D151" s="234"/>
      <c r="E151" s="234"/>
      <c r="F151" s="234"/>
      <c r="G151" s="234"/>
      <c r="H151" s="234"/>
      <c r="I151" s="234"/>
      <c r="J151" s="234"/>
      <c r="K151" s="234"/>
      <c r="M151" s="234"/>
      <c r="N151" s="234"/>
      <c r="O151" s="238"/>
      <c r="P151" s="234"/>
      <c r="Q151" s="234"/>
      <c r="R151" s="234"/>
      <c r="S151" s="234"/>
    </row>
    <row r="152">
      <c r="A152" s="234"/>
      <c r="B152" s="234"/>
      <c r="C152" s="236"/>
      <c r="D152" s="234"/>
      <c r="E152" s="234"/>
      <c r="F152" s="234"/>
      <c r="G152" s="234"/>
      <c r="H152" s="234"/>
      <c r="I152" s="234"/>
      <c r="J152" s="234"/>
      <c r="K152" s="234"/>
      <c r="M152" s="234"/>
      <c r="N152" s="234"/>
      <c r="O152" s="238"/>
      <c r="P152" s="234"/>
      <c r="Q152" s="234"/>
      <c r="R152" s="234"/>
      <c r="S152" s="234"/>
    </row>
    <row r="153">
      <c r="A153" s="234"/>
      <c r="B153" s="234"/>
      <c r="C153" s="236"/>
      <c r="D153" s="234"/>
      <c r="E153" s="234"/>
      <c r="F153" s="234"/>
      <c r="G153" s="234"/>
      <c r="H153" s="234"/>
      <c r="I153" s="234"/>
      <c r="J153" s="234"/>
      <c r="K153" s="234"/>
      <c r="M153" s="234"/>
      <c r="N153" s="234"/>
      <c r="O153" s="238"/>
      <c r="P153" s="234"/>
      <c r="Q153" s="234"/>
      <c r="R153" s="234"/>
      <c r="S153" s="234"/>
    </row>
    <row r="154">
      <c r="A154" s="234"/>
      <c r="B154" s="234"/>
      <c r="C154" s="236"/>
      <c r="D154" s="234"/>
      <c r="E154" s="234"/>
      <c r="F154" s="234"/>
      <c r="G154" s="234"/>
      <c r="H154" s="234"/>
      <c r="I154" s="234"/>
      <c r="J154" s="234"/>
      <c r="K154" s="234"/>
      <c r="M154" s="234"/>
      <c r="N154" s="234"/>
      <c r="O154" s="238"/>
      <c r="P154" s="234"/>
      <c r="Q154" s="234"/>
      <c r="R154" s="234"/>
      <c r="S154" s="234"/>
    </row>
    <row r="155">
      <c r="A155" s="234"/>
      <c r="B155" s="234"/>
      <c r="C155" s="236"/>
      <c r="D155" s="234"/>
      <c r="E155" s="234"/>
      <c r="F155" s="234"/>
      <c r="G155" s="234"/>
      <c r="H155" s="234"/>
      <c r="I155" s="234"/>
      <c r="J155" s="234"/>
      <c r="K155" s="234"/>
      <c r="M155" s="234"/>
      <c r="N155" s="234"/>
      <c r="O155" s="238"/>
      <c r="P155" s="234"/>
      <c r="Q155" s="234"/>
      <c r="R155" s="234"/>
      <c r="S155" s="234"/>
    </row>
    <row r="156">
      <c r="A156" s="234"/>
      <c r="B156" s="234"/>
      <c r="C156" s="236"/>
      <c r="D156" s="234"/>
      <c r="E156" s="234"/>
      <c r="F156" s="234"/>
      <c r="G156" s="234"/>
      <c r="H156" s="234"/>
      <c r="I156" s="234"/>
      <c r="J156" s="234"/>
      <c r="K156" s="234"/>
      <c r="M156" s="234"/>
      <c r="N156" s="234"/>
      <c r="O156" s="238"/>
      <c r="P156" s="234"/>
      <c r="Q156" s="234"/>
      <c r="R156" s="234"/>
      <c r="S156" s="234"/>
    </row>
    <row r="157">
      <c r="A157" s="234"/>
      <c r="B157" s="234"/>
      <c r="C157" s="236"/>
      <c r="D157" s="234"/>
      <c r="E157" s="234"/>
      <c r="F157" s="234"/>
      <c r="G157" s="234"/>
      <c r="H157" s="234"/>
      <c r="I157" s="234"/>
      <c r="J157" s="234"/>
      <c r="K157" s="234"/>
      <c r="M157" s="234"/>
      <c r="N157" s="234"/>
      <c r="O157" s="238"/>
      <c r="P157" s="234"/>
      <c r="Q157" s="234"/>
      <c r="R157" s="234"/>
      <c r="S157" s="234"/>
    </row>
    <row r="158">
      <c r="A158" s="234"/>
      <c r="B158" s="234"/>
      <c r="C158" s="236"/>
      <c r="D158" s="234"/>
      <c r="E158" s="234"/>
      <c r="F158" s="234"/>
      <c r="G158" s="234"/>
      <c r="H158" s="234"/>
      <c r="I158" s="234"/>
      <c r="J158" s="234"/>
      <c r="K158" s="234"/>
      <c r="M158" s="234"/>
      <c r="N158" s="234"/>
      <c r="O158" s="238"/>
      <c r="P158" s="234"/>
      <c r="Q158" s="234"/>
      <c r="R158" s="234"/>
      <c r="S158" s="234"/>
    </row>
    <row r="159">
      <c r="A159" s="234"/>
      <c r="B159" s="234"/>
      <c r="C159" s="236"/>
      <c r="D159" s="234"/>
      <c r="E159" s="234"/>
      <c r="F159" s="234"/>
      <c r="G159" s="234"/>
      <c r="H159" s="234"/>
      <c r="I159" s="234"/>
      <c r="J159" s="234"/>
      <c r="K159" s="234"/>
      <c r="M159" s="234"/>
      <c r="N159" s="234"/>
      <c r="O159" s="238"/>
      <c r="P159" s="234"/>
      <c r="Q159" s="234"/>
      <c r="R159" s="234"/>
      <c r="S159" s="234"/>
    </row>
    <row r="160">
      <c r="A160" s="234"/>
      <c r="B160" s="234"/>
      <c r="C160" s="236"/>
      <c r="D160" s="234"/>
      <c r="E160" s="234"/>
      <c r="F160" s="234"/>
      <c r="G160" s="234"/>
      <c r="H160" s="234"/>
      <c r="I160" s="234"/>
      <c r="J160" s="234"/>
      <c r="K160" s="234"/>
      <c r="M160" s="234"/>
      <c r="N160" s="234"/>
      <c r="O160" s="238"/>
      <c r="P160" s="234"/>
      <c r="Q160" s="234"/>
      <c r="R160" s="234"/>
      <c r="S160" s="234"/>
    </row>
    <row r="161">
      <c r="A161" s="234"/>
      <c r="B161" s="234"/>
      <c r="C161" s="236"/>
      <c r="D161" s="234"/>
      <c r="E161" s="234"/>
      <c r="F161" s="234"/>
      <c r="G161" s="234"/>
      <c r="H161" s="234"/>
      <c r="I161" s="234"/>
      <c r="J161" s="234"/>
      <c r="K161" s="234"/>
      <c r="M161" s="234"/>
      <c r="N161" s="234"/>
      <c r="O161" s="238"/>
      <c r="P161" s="234"/>
      <c r="Q161" s="234"/>
      <c r="R161" s="234"/>
      <c r="S161" s="234"/>
    </row>
    <row r="162">
      <c r="A162" s="234"/>
      <c r="B162" s="234"/>
      <c r="C162" s="236"/>
      <c r="D162" s="234"/>
      <c r="E162" s="234"/>
      <c r="F162" s="234"/>
      <c r="G162" s="234"/>
      <c r="H162" s="234"/>
      <c r="I162" s="234"/>
      <c r="J162" s="234"/>
      <c r="K162" s="234"/>
      <c r="M162" s="234"/>
      <c r="N162" s="234"/>
      <c r="O162" s="238"/>
      <c r="P162" s="234"/>
      <c r="Q162" s="234"/>
      <c r="R162" s="234"/>
      <c r="S162" s="234"/>
    </row>
    <row r="163">
      <c r="A163" s="234"/>
      <c r="B163" s="234"/>
      <c r="C163" s="236"/>
      <c r="D163" s="234"/>
      <c r="E163" s="234"/>
      <c r="F163" s="234"/>
      <c r="G163" s="234"/>
      <c r="H163" s="234"/>
      <c r="I163" s="234"/>
      <c r="J163" s="234"/>
      <c r="K163" s="234"/>
      <c r="M163" s="234"/>
      <c r="N163" s="234"/>
      <c r="O163" s="238"/>
      <c r="P163" s="234"/>
      <c r="Q163" s="234"/>
      <c r="R163" s="234"/>
      <c r="S163" s="234"/>
    </row>
    <row r="164">
      <c r="A164" s="234"/>
      <c r="B164" s="234"/>
      <c r="C164" s="236"/>
      <c r="D164" s="234"/>
      <c r="E164" s="234"/>
      <c r="F164" s="234"/>
      <c r="G164" s="234"/>
      <c r="H164" s="234"/>
      <c r="I164" s="234"/>
      <c r="J164" s="234"/>
      <c r="K164" s="234"/>
      <c r="M164" s="234"/>
      <c r="N164" s="234"/>
      <c r="O164" s="238"/>
      <c r="P164" s="234"/>
      <c r="Q164" s="234"/>
      <c r="R164" s="234"/>
      <c r="S164" s="234"/>
    </row>
    <row r="165">
      <c r="A165" s="234"/>
      <c r="B165" s="234"/>
      <c r="C165" s="236"/>
      <c r="D165" s="234"/>
      <c r="E165" s="234"/>
      <c r="F165" s="234"/>
      <c r="G165" s="234"/>
      <c r="H165" s="234"/>
      <c r="I165" s="234"/>
      <c r="J165" s="234"/>
      <c r="K165" s="234"/>
      <c r="M165" s="234"/>
      <c r="N165" s="234"/>
      <c r="O165" s="238"/>
      <c r="P165" s="234"/>
      <c r="Q165" s="234"/>
      <c r="R165" s="234"/>
      <c r="S165" s="234"/>
    </row>
    <row r="166">
      <c r="A166" s="234"/>
      <c r="B166" s="234"/>
      <c r="C166" s="236"/>
      <c r="D166" s="234"/>
      <c r="E166" s="234"/>
      <c r="F166" s="234"/>
      <c r="G166" s="234"/>
      <c r="H166" s="234"/>
      <c r="I166" s="234"/>
      <c r="J166" s="234"/>
      <c r="K166" s="234"/>
      <c r="M166" s="234"/>
      <c r="N166" s="234"/>
      <c r="O166" s="238"/>
      <c r="P166" s="234"/>
      <c r="Q166" s="234"/>
      <c r="R166" s="234"/>
      <c r="S166" s="234"/>
    </row>
    <row r="167">
      <c r="A167" s="234"/>
      <c r="B167" s="234"/>
      <c r="C167" s="236"/>
      <c r="D167" s="234"/>
      <c r="E167" s="234"/>
      <c r="F167" s="234"/>
      <c r="G167" s="234"/>
      <c r="H167" s="234"/>
      <c r="I167" s="234"/>
      <c r="J167" s="234"/>
      <c r="K167" s="234"/>
      <c r="M167" s="234"/>
      <c r="N167" s="234"/>
      <c r="O167" s="238"/>
      <c r="P167" s="234"/>
      <c r="Q167" s="234"/>
      <c r="R167" s="234"/>
      <c r="S167" s="234"/>
    </row>
    <row r="168">
      <c r="A168" s="234"/>
      <c r="B168" s="234"/>
      <c r="C168" s="236"/>
      <c r="D168" s="234"/>
      <c r="E168" s="234"/>
      <c r="F168" s="234"/>
      <c r="G168" s="234"/>
      <c r="H168" s="234"/>
      <c r="I168" s="234"/>
      <c r="J168" s="234"/>
      <c r="K168" s="234"/>
      <c r="M168" s="234"/>
      <c r="N168" s="234"/>
      <c r="O168" s="238"/>
      <c r="P168" s="234"/>
      <c r="Q168" s="234"/>
      <c r="R168" s="234"/>
      <c r="S168" s="234"/>
    </row>
    <row r="169">
      <c r="A169" s="234"/>
      <c r="B169" s="234"/>
      <c r="C169" s="236"/>
      <c r="D169" s="234"/>
      <c r="E169" s="234"/>
      <c r="F169" s="234"/>
      <c r="G169" s="234"/>
      <c r="H169" s="234"/>
      <c r="I169" s="234"/>
      <c r="J169" s="234"/>
      <c r="K169" s="234"/>
      <c r="M169" s="234"/>
      <c r="N169" s="234"/>
      <c r="O169" s="238"/>
      <c r="P169" s="234"/>
      <c r="Q169" s="234"/>
      <c r="R169" s="234"/>
      <c r="S169" s="234"/>
    </row>
    <row r="170">
      <c r="A170" s="234"/>
      <c r="B170" s="234"/>
      <c r="C170" s="236"/>
      <c r="D170" s="234"/>
      <c r="E170" s="234"/>
      <c r="F170" s="234"/>
      <c r="G170" s="234"/>
      <c r="H170" s="234"/>
      <c r="I170" s="234"/>
      <c r="J170" s="234"/>
      <c r="K170" s="234"/>
      <c r="M170" s="234"/>
      <c r="N170" s="234"/>
      <c r="O170" s="238"/>
      <c r="P170" s="234"/>
      <c r="Q170" s="234"/>
      <c r="R170" s="234"/>
      <c r="S170" s="234"/>
    </row>
    <row r="171">
      <c r="A171" s="234"/>
      <c r="B171" s="234"/>
      <c r="C171" s="236"/>
      <c r="D171" s="234"/>
      <c r="E171" s="234"/>
      <c r="F171" s="234"/>
      <c r="G171" s="234"/>
      <c r="H171" s="234"/>
      <c r="I171" s="234"/>
      <c r="J171" s="234"/>
      <c r="K171" s="234"/>
      <c r="M171" s="234"/>
      <c r="N171" s="234"/>
      <c r="O171" s="238"/>
      <c r="P171" s="234"/>
      <c r="Q171" s="234"/>
      <c r="R171" s="234"/>
      <c r="S171" s="234"/>
    </row>
    <row r="172">
      <c r="A172" s="234"/>
      <c r="B172" s="234"/>
      <c r="C172" s="236"/>
      <c r="D172" s="234"/>
      <c r="E172" s="234"/>
      <c r="F172" s="234"/>
      <c r="G172" s="234"/>
      <c r="H172" s="234"/>
      <c r="I172" s="234"/>
      <c r="J172" s="234"/>
      <c r="K172" s="234"/>
      <c r="M172" s="234"/>
      <c r="N172" s="234"/>
      <c r="O172" s="238"/>
      <c r="P172" s="234"/>
      <c r="Q172" s="234"/>
      <c r="R172" s="234"/>
      <c r="S172" s="234"/>
    </row>
    <row r="173">
      <c r="A173" s="234"/>
      <c r="B173" s="234"/>
      <c r="C173" s="236"/>
      <c r="D173" s="234"/>
      <c r="E173" s="234"/>
      <c r="F173" s="234"/>
      <c r="G173" s="234"/>
      <c r="H173" s="234"/>
      <c r="I173" s="234"/>
      <c r="J173" s="234"/>
      <c r="K173" s="234"/>
      <c r="M173" s="234"/>
      <c r="N173" s="234"/>
      <c r="O173" s="238"/>
      <c r="P173" s="234"/>
      <c r="Q173" s="234"/>
      <c r="R173" s="234"/>
      <c r="S173" s="234"/>
    </row>
    <row r="174">
      <c r="A174" s="234"/>
      <c r="B174" s="234"/>
      <c r="C174" s="236"/>
      <c r="D174" s="234"/>
      <c r="E174" s="234"/>
      <c r="F174" s="234"/>
      <c r="G174" s="234"/>
      <c r="H174" s="234"/>
      <c r="I174" s="234"/>
      <c r="J174" s="234"/>
      <c r="K174" s="234"/>
      <c r="M174" s="234"/>
      <c r="N174" s="234"/>
      <c r="O174" s="238"/>
      <c r="P174" s="234"/>
      <c r="Q174" s="234"/>
      <c r="R174" s="234"/>
      <c r="S174" s="234"/>
    </row>
    <row r="175">
      <c r="A175" s="234"/>
      <c r="B175" s="234"/>
      <c r="C175" s="236"/>
      <c r="D175" s="234"/>
      <c r="E175" s="234"/>
      <c r="F175" s="234"/>
      <c r="G175" s="234"/>
      <c r="H175" s="234"/>
      <c r="I175" s="234"/>
      <c r="J175" s="234"/>
      <c r="K175" s="234"/>
      <c r="M175" s="234"/>
      <c r="N175" s="234"/>
      <c r="O175" s="238"/>
      <c r="P175" s="234"/>
      <c r="Q175" s="234"/>
      <c r="R175" s="234"/>
      <c r="S175" s="234"/>
    </row>
    <row r="176">
      <c r="A176" s="234"/>
      <c r="B176" s="234"/>
      <c r="C176" s="236"/>
      <c r="D176" s="234"/>
      <c r="E176" s="234"/>
      <c r="F176" s="234"/>
      <c r="G176" s="234"/>
      <c r="H176" s="234"/>
      <c r="I176" s="234"/>
      <c r="J176" s="234"/>
      <c r="K176" s="234"/>
      <c r="M176" s="234"/>
      <c r="N176" s="234"/>
      <c r="O176" s="238"/>
      <c r="P176" s="234"/>
      <c r="Q176" s="234"/>
      <c r="R176" s="234"/>
      <c r="S176" s="234"/>
    </row>
    <row r="177">
      <c r="A177" s="234"/>
      <c r="B177" s="234"/>
      <c r="C177" s="236"/>
      <c r="D177" s="234"/>
      <c r="E177" s="234"/>
      <c r="F177" s="234"/>
      <c r="G177" s="234"/>
      <c r="H177" s="234"/>
      <c r="I177" s="234"/>
      <c r="J177" s="234"/>
      <c r="K177" s="234"/>
      <c r="M177" s="234"/>
      <c r="N177" s="234"/>
      <c r="O177" s="238"/>
      <c r="P177" s="234"/>
      <c r="Q177" s="234"/>
      <c r="R177" s="234"/>
      <c r="S177" s="234"/>
    </row>
    <row r="178">
      <c r="A178" s="234"/>
      <c r="B178" s="234"/>
      <c r="C178" s="236"/>
      <c r="D178" s="234"/>
      <c r="E178" s="234"/>
      <c r="F178" s="234"/>
      <c r="G178" s="234"/>
      <c r="H178" s="234"/>
      <c r="I178" s="234"/>
      <c r="J178" s="234"/>
      <c r="K178" s="234"/>
      <c r="M178" s="234"/>
      <c r="N178" s="234"/>
      <c r="O178" s="238"/>
      <c r="P178" s="234"/>
      <c r="Q178" s="234"/>
      <c r="R178" s="234"/>
      <c r="S178" s="234"/>
    </row>
    <row r="179">
      <c r="A179" s="234"/>
      <c r="B179" s="234"/>
      <c r="C179" s="236"/>
      <c r="D179" s="234"/>
      <c r="E179" s="234"/>
      <c r="F179" s="234"/>
      <c r="G179" s="234"/>
      <c r="H179" s="234"/>
      <c r="I179" s="234"/>
      <c r="J179" s="234"/>
      <c r="K179" s="234"/>
      <c r="M179" s="234"/>
      <c r="N179" s="234"/>
      <c r="O179" s="238"/>
      <c r="P179" s="234"/>
      <c r="Q179" s="234"/>
      <c r="R179" s="234"/>
      <c r="S179" s="234"/>
    </row>
    <row r="180">
      <c r="A180" s="234"/>
      <c r="B180" s="234"/>
      <c r="C180" s="236"/>
      <c r="D180" s="234"/>
      <c r="E180" s="234"/>
      <c r="F180" s="234"/>
      <c r="G180" s="234"/>
      <c r="H180" s="234"/>
      <c r="I180" s="234"/>
      <c r="J180" s="234"/>
      <c r="K180" s="234"/>
      <c r="M180" s="234"/>
      <c r="N180" s="234"/>
      <c r="O180" s="238"/>
      <c r="P180" s="234"/>
      <c r="Q180" s="234"/>
      <c r="R180" s="234"/>
      <c r="S180" s="234"/>
    </row>
    <row r="181">
      <c r="A181" s="234"/>
      <c r="B181" s="234"/>
      <c r="C181" s="236"/>
      <c r="D181" s="234"/>
      <c r="E181" s="234"/>
      <c r="F181" s="234"/>
      <c r="G181" s="234"/>
      <c r="H181" s="234"/>
      <c r="I181" s="234"/>
      <c r="J181" s="234"/>
      <c r="K181" s="234"/>
      <c r="M181" s="234"/>
      <c r="N181" s="234"/>
      <c r="O181" s="238"/>
      <c r="P181" s="234"/>
      <c r="Q181" s="234"/>
      <c r="R181" s="234"/>
      <c r="S181" s="234"/>
    </row>
    <row r="182">
      <c r="A182" s="234"/>
      <c r="B182" s="234"/>
      <c r="C182" s="236"/>
      <c r="D182" s="234"/>
      <c r="E182" s="234"/>
      <c r="F182" s="234"/>
      <c r="G182" s="234"/>
      <c r="H182" s="234"/>
      <c r="I182" s="234"/>
      <c r="J182" s="234"/>
      <c r="K182" s="234"/>
      <c r="M182" s="234"/>
      <c r="N182" s="234"/>
      <c r="O182" s="238"/>
      <c r="P182" s="234"/>
      <c r="Q182" s="234"/>
      <c r="R182" s="234"/>
      <c r="S182" s="234"/>
    </row>
    <row r="183">
      <c r="A183" s="234"/>
      <c r="B183" s="234"/>
      <c r="C183" s="236"/>
      <c r="D183" s="234"/>
      <c r="E183" s="234"/>
      <c r="F183" s="234"/>
      <c r="G183" s="234"/>
      <c r="H183" s="234"/>
      <c r="I183" s="234"/>
      <c r="J183" s="234"/>
      <c r="K183" s="234"/>
      <c r="M183" s="234"/>
      <c r="N183" s="234"/>
      <c r="O183" s="238"/>
      <c r="P183" s="234"/>
      <c r="Q183" s="234"/>
      <c r="R183" s="234"/>
      <c r="S183" s="234"/>
    </row>
    <row r="184">
      <c r="A184" s="234"/>
      <c r="B184" s="234"/>
      <c r="C184" s="236"/>
      <c r="D184" s="234"/>
      <c r="E184" s="234"/>
      <c r="F184" s="234"/>
      <c r="G184" s="234"/>
      <c r="H184" s="234"/>
      <c r="I184" s="234"/>
      <c r="J184" s="234"/>
      <c r="K184" s="234"/>
      <c r="M184" s="234"/>
      <c r="N184" s="234"/>
      <c r="O184" s="238"/>
      <c r="P184" s="234"/>
      <c r="Q184" s="234"/>
      <c r="R184" s="234"/>
      <c r="S184" s="234"/>
    </row>
    <row r="185">
      <c r="A185" s="234"/>
      <c r="B185" s="234"/>
      <c r="C185" s="236"/>
      <c r="D185" s="234"/>
      <c r="E185" s="234"/>
      <c r="F185" s="234"/>
      <c r="G185" s="234"/>
      <c r="H185" s="234"/>
      <c r="I185" s="234"/>
      <c r="J185" s="234"/>
      <c r="K185" s="234"/>
      <c r="M185" s="234"/>
      <c r="N185" s="234"/>
      <c r="O185" s="238"/>
      <c r="P185" s="234"/>
      <c r="Q185" s="234"/>
      <c r="R185" s="234"/>
      <c r="S185" s="234"/>
    </row>
    <row r="186">
      <c r="A186" s="234"/>
      <c r="B186" s="234"/>
      <c r="C186" s="236"/>
      <c r="D186" s="234"/>
      <c r="E186" s="234"/>
      <c r="F186" s="234"/>
      <c r="G186" s="234"/>
      <c r="H186" s="234"/>
      <c r="I186" s="234"/>
      <c r="J186" s="234"/>
      <c r="K186" s="234"/>
      <c r="M186" s="234"/>
      <c r="N186" s="234"/>
      <c r="O186" s="238"/>
      <c r="P186" s="234"/>
      <c r="Q186" s="234"/>
      <c r="R186" s="234"/>
      <c r="S186" s="234"/>
    </row>
    <row r="187">
      <c r="A187" s="234"/>
      <c r="B187" s="234"/>
      <c r="C187" s="236"/>
      <c r="D187" s="234"/>
      <c r="E187" s="234"/>
      <c r="F187" s="234"/>
      <c r="G187" s="234"/>
      <c r="H187" s="234"/>
      <c r="I187" s="234"/>
      <c r="J187" s="234"/>
      <c r="K187" s="234"/>
      <c r="M187" s="234"/>
      <c r="N187" s="234"/>
      <c r="O187" s="238"/>
      <c r="P187" s="234"/>
      <c r="Q187" s="234"/>
      <c r="R187" s="234"/>
      <c r="S187" s="234"/>
    </row>
    <row r="188">
      <c r="A188" s="234"/>
      <c r="B188" s="234"/>
      <c r="C188" s="236"/>
      <c r="D188" s="234"/>
      <c r="E188" s="234"/>
      <c r="F188" s="234"/>
      <c r="G188" s="234"/>
      <c r="H188" s="234"/>
      <c r="I188" s="234"/>
      <c r="J188" s="234"/>
      <c r="K188" s="234"/>
      <c r="M188" s="234"/>
      <c r="N188" s="234"/>
      <c r="O188" s="238"/>
      <c r="P188" s="234"/>
      <c r="Q188" s="234"/>
      <c r="R188" s="234"/>
      <c r="S188" s="234"/>
    </row>
    <row r="189">
      <c r="A189" s="234"/>
      <c r="B189" s="234"/>
      <c r="C189" s="236"/>
      <c r="D189" s="234"/>
      <c r="E189" s="234"/>
      <c r="F189" s="234"/>
      <c r="G189" s="234"/>
      <c r="H189" s="234"/>
      <c r="I189" s="234"/>
      <c r="J189" s="234"/>
      <c r="K189" s="234"/>
      <c r="M189" s="234"/>
      <c r="N189" s="234"/>
      <c r="O189" s="238"/>
      <c r="P189" s="234"/>
      <c r="Q189" s="234"/>
      <c r="R189" s="234"/>
      <c r="S189" s="234"/>
    </row>
    <row r="190">
      <c r="A190" s="234"/>
      <c r="B190" s="234"/>
      <c r="C190" s="236"/>
      <c r="D190" s="234"/>
      <c r="E190" s="234"/>
      <c r="F190" s="234"/>
      <c r="G190" s="234"/>
      <c r="H190" s="234"/>
      <c r="I190" s="234"/>
      <c r="J190" s="234"/>
      <c r="K190" s="234"/>
      <c r="M190" s="234"/>
      <c r="N190" s="234"/>
      <c r="O190" s="238"/>
      <c r="P190" s="234"/>
      <c r="Q190" s="234"/>
      <c r="R190" s="234"/>
      <c r="S190" s="234"/>
    </row>
    <row r="191">
      <c r="A191" s="234"/>
      <c r="B191" s="234"/>
      <c r="C191" s="236"/>
      <c r="D191" s="234"/>
      <c r="E191" s="234"/>
      <c r="F191" s="234"/>
      <c r="G191" s="234"/>
      <c r="H191" s="234"/>
      <c r="I191" s="234"/>
      <c r="J191" s="234"/>
      <c r="K191" s="234"/>
      <c r="M191" s="234"/>
      <c r="N191" s="234"/>
      <c r="O191" s="238"/>
      <c r="P191" s="234"/>
      <c r="Q191" s="234"/>
      <c r="R191" s="234"/>
      <c r="S191" s="234"/>
    </row>
    <row r="192">
      <c r="A192" s="234"/>
      <c r="B192" s="234"/>
      <c r="C192" s="236"/>
      <c r="D192" s="234"/>
      <c r="E192" s="234"/>
      <c r="F192" s="234"/>
      <c r="G192" s="234"/>
      <c r="H192" s="234"/>
      <c r="I192" s="234"/>
      <c r="J192" s="234"/>
      <c r="K192" s="234"/>
      <c r="M192" s="234"/>
      <c r="N192" s="234"/>
      <c r="O192" s="238"/>
      <c r="P192" s="234"/>
      <c r="Q192" s="234"/>
      <c r="R192" s="234"/>
      <c r="S192" s="234"/>
    </row>
    <row r="193">
      <c r="A193" s="234"/>
      <c r="B193" s="234"/>
      <c r="C193" s="236"/>
      <c r="D193" s="234"/>
      <c r="E193" s="234"/>
      <c r="F193" s="234"/>
      <c r="G193" s="234"/>
      <c r="H193" s="234"/>
      <c r="I193" s="234"/>
      <c r="J193" s="234"/>
      <c r="K193" s="234"/>
      <c r="M193" s="234"/>
      <c r="N193" s="234"/>
      <c r="O193" s="238"/>
      <c r="P193" s="234"/>
      <c r="Q193" s="234"/>
      <c r="R193" s="234"/>
      <c r="S193" s="234"/>
    </row>
    <row r="194">
      <c r="A194" s="234"/>
      <c r="B194" s="234"/>
      <c r="C194" s="236"/>
      <c r="D194" s="234"/>
      <c r="E194" s="234"/>
      <c r="F194" s="234"/>
      <c r="G194" s="234"/>
      <c r="H194" s="234"/>
      <c r="I194" s="234"/>
      <c r="J194" s="234"/>
      <c r="K194" s="234"/>
      <c r="M194" s="234"/>
      <c r="N194" s="234"/>
      <c r="O194" s="238"/>
      <c r="P194" s="234"/>
      <c r="Q194" s="234"/>
      <c r="R194" s="234"/>
      <c r="S194" s="234"/>
    </row>
    <row r="195">
      <c r="A195" s="234"/>
      <c r="B195" s="234"/>
      <c r="C195" s="236"/>
      <c r="D195" s="234"/>
      <c r="E195" s="234"/>
      <c r="F195" s="234"/>
      <c r="G195" s="234"/>
      <c r="H195" s="234"/>
      <c r="I195" s="234"/>
      <c r="J195" s="234"/>
      <c r="K195" s="234"/>
      <c r="M195" s="234"/>
      <c r="N195" s="234"/>
      <c r="O195" s="238"/>
      <c r="P195" s="234"/>
      <c r="Q195" s="234"/>
      <c r="R195" s="234"/>
      <c r="S195" s="234"/>
    </row>
    <row r="196">
      <c r="A196" s="234"/>
      <c r="B196" s="234"/>
      <c r="C196" s="236"/>
      <c r="D196" s="234"/>
      <c r="E196" s="234"/>
      <c r="F196" s="234"/>
      <c r="G196" s="234"/>
      <c r="H196" s="234"/>
      <c r="I196" s="234"/>
      <c r="J196" s="234"/>
      <c r="K196" s="234"/>
      <c r="M196" s="234"/>
      <c r="N196" s="234"/>
      <c r="O196" s="238"/>
      <c r="P196" s="234"/>
      <c r="Q196" s="234"/>
      <c r="R196" s="234"/>
      <c r="S196" s="234"/>
    </row>
    <row r="197">
      <c r="A197" s="234"/>
      <c r="B197" s="234"/>
      <c r="C197" s="236"/>
      <c r="D197" s="234"/>
      <c r="E197" s="234"/>
      <c r="F197" s="234"/>
      <c r="G197" s="234"/>
      <c r="H197" s="234"/>
      <c r="I197" s="234"/>
      <c r="J197" s="234"/>
      <c r="K197" s="234"/>
      <c r="M197" s="234"/>
      <c r="N197" s="234"/>
      <c r="O197" s="238"/>
      <c r="P197" s="234"/>
      <c r="Q197" s="234"/>
      <c r="R197" s="234"/>
      <c r="S197" s="234"/>
    </row>
    <row r="198">
      <c r="A198" s="234"/>
      <c r="B198" s="234"/>
      <c r="C198" s="236"/>
      <c r="D198" s="234"/>
      <c r="E198" s="234"/>
      <c r="F198" s="234"/>
      <c r="G198" s="234"/>
      <c r="H198" s="234"/>
      <c r="I198" s="234"/>
      <c r="J198" s="234"/>
      <c r="K198" s="234"/>
      <c r="M198" s="234"/>
      <c r="N198" s="234"/>
      <c r="O198" s="238"/>
      <c r="P198" s="234"/>
      <c r="Q198" s="234"/>
      <c r="R198" s="234"/>
      <c r="S198" s="234"/>
    </row>
    <row r="199">
      <c r="A199" s="234"/>
      <c r="B199" s="234"/>
      <c r="C199" s="236"/>
      <c r="D199" s="234"/>
      <c r="E199" s="234"/>
      <c r="F199" s="234"/>
      <c r="G199" s="234"/>
      <c r="H199" s="234"/>
      <c r="I199" s="234"/>
      <c r="J199" s="234"/>
      <c r="K199" s="234"/>
      <c r="M199" s="234"/>
      <c r="N199" s="234"/>
      <c r="O199" s="238"/>
      <c r="P199" s="234"/>
      <c r="Q199" s="234"/>
      <c r="R199" s="234"/>
      <c r="S199" s="234"/>
    </row>
    <row r="200">
      <c r="A200" s="234"/>
      <c r="B200" s="234"/>
      <c r="C200" s="236"/>
      <c r="D200" s="234"/>
      <c r="E200" s="234"/>
      <c r="F200" s="234"/>
      <c r="G200" s="234"/>
      <c r="H200" s="234"/>
      <c r="I200" s="234"/>
      <c r="J200" s="234"/>
      <c r="K200" s="234"/>
      <c r="M200" s="234"/>
      <c r="N200" s="234"/>
      <c r="O200" s="238"/>
      <c r="P200" s="234"/>
      <c r="Q200" s="234"/>
      <c r="R200" s="234"/>
      <c r="S200" s="234"/>
    </row>
    <row r="201">
      <c r="A201" s="234"/>
      <c r="B201" s="234"/>
      <c r="C201" s="236"/>
      <c r="D201" s="234"/>
      <c r="E201" s="234"/>
      <c r="F201" s="234"/>
      <c r="G201" s="234"/>
      <c r="H201" s="234"/>
      <c r="I201" s="234"/>
      <c r="J201" s="234"/>
      <c r="K201" s="234"/>
      <c r="M201" s="234"/>
      <c r="N201" s="234"/>
      <c r="O201" s="238"/>
      <c r="P201" s="234"/>
      <c r="Q201" s="234"/>
      <c r="R201" s="234"/>
      <c r="S201" s="234"/>
    </row>
    <row r="202">
      <c r="A202" s="234"/>
      <c r="B202" s="234"/>
      <c r="C202" s="236"/>
      <c r="D202" s="234"/>
      <c r="E202" s="234"/>
      <c r="F202" s="234"/>
      <c r="G202" s="234"/>
      <c r="H202" s="234"/>
      <c r="I202" s="234"/>
      <c r="J202" s="234"/>
      <c r="K202" s="234"/>
      <c r="M202" s="234"/>
      <c r="N202" s="234"/>
      <c r="O202" s="238"/>
      <c r="P202" s="234"/>
      <c r="Q202" s="234"/>
      <c r="R202" s="234"/>
      <c r="S202" s="234"/>
    </row>
    <row r="203">
      <c r="A203" s="234"/>
      <c r="B203" s="234"/>
      <c r="C203" s="236"/>
      <c r="D203" s="234"/>
      <c r="E203" s="234"/>
      <c r="F203" s="234"/>
      <c r="G203" s="234"/>
      <c r="H203" s="234"/>
      <c r="I203" s="234"/>
      <c r="J203" s="234"/>
      <c r="K203" s="234"/>
      <c r="M203" s="234"/>
      <c r="N203" s="234"/>
      <c r="O203" s="238"/>
      <c r="P203" s="234"/>
      <c r="Q203" s="234"/>
      <c r="R203" s="234"/>
      <c r="S203" s="234"/>
    </row>
    <row r="204">
      <c r="A204" s="234"/>
      <c r="B204" s="234"/>
      <c r="C204" s="236"/>
      <c r="D204" s="234"/>
      <c r="E204" s="234"/>
      <c r="F204" s="234"/>
      <c r="G204" s="234"/>
      <c r="H204" s="234"/>
      <c r="I204" s="234"/>
      <c r="J204" s="234"/>
      <c r="K204" s="234"/>
      <c r="M204" s="234"/>
      <c r="N204" s="234"/>
      <c r="O204" s="238"/>
      <c r="P204" s="234"/>
      <c r="Q204" s="234"/>
      <c r="R204" s="234"/>
      <c r="S204" s="234"/>
    </row>
    <row r="205">
      <c r="A205" s="234"/>
      <c r="B205" s="234"/>
      <c r="C205" s="236"/>
      <c r="D205" s="234"/>
      <c r="E205" s="234"/>
      <c r="F205" s="234"/>
      <c r="G205" s="234"/>
      <c r="H205" s="234"/>
      <c r="I205" s="234"/>
      <c r="J205" s="234"/>
      <c r="K205" s="234"/>
      <c r="M205" s="234"/>
      <c r="N205" s="234"/>
      <c r="O205" s="238"/>
      <c r="P205" s="234"/>
      <c r="Q205" s="234"/>
      <c r="R205" s="234"/>
      <c r="S205" s="234"/>
    </row>
    <row r="206">
      <c r="A206" s="234"/>
      <c r="B206" s="234"/>
      <c r="C206" s="236"/>
      <c r="D206" s="234"/>
      <c r="E206" s="234"/>
      <c r="F206" s="234"/>
      <c r="G206" s="234"/>
      <c r="H206" s="234"/>
      <c r="I206" s="234"/>
      <c r="J206" s="234"/>
      <c r="K206" s="234"/>
      <c r="M206" s="234"/>
      <c r="N206" s="234"/>
      <c r="O206" s="238"/>
      <c r="P206" s="234"/>
      <c r="Q206" s="234"/>
      <c r="R206" s="234"/>
      <c r="S206" s="234"/>
    </row>
    <row r="207">
      <c r="A207" s="234"/>
      <c r="B207" s="234"/>
      <c r="C207" s="236"/>
      <c r="D207" s="234"/>
      <c r="E207" s="234"/>
      <c r="F207" s="234"/>
      <c r="G207" s="234"/>
      <c r="H207" s="234"/>
      <c r="I207" s="234"/>
      <c r="J207" s="234"/>
      <c r="K207" s="234"/>
      <c r="M207" s="234"/>
      <c r="N207" s="234"/>
      <c r="O207" s="238"/>
      <c r="P207" s="234"/>
      <c r="Q207" s="234"/>
      <c r="R207" s="234"/>
      <c r="S207" s="234"/>
    </row>
    <row r="208">
      <c r="A208" s="234"/>
      <c r="B208" s="234"/>
      <c r="C208" s="236"/>
      <c r="D208" s="234"/>
      <c r="E208" s="234"/>
      <c r="F208" s="234"/>
      <c r="G208" s="234"/>
      <c r="H208" s="234"/>
      <c r="I208" s="234"/>
      <c r="J208" s="234"/>
      <c r="K208" s="234"/>
      <c r="M208" s="234"/>
      <c r="N208" s="234"/>
      <c r="O208" s="238"/>
      <c r="P208" s="234"/>
      <c r="Q208" s="234"/>
      <c r="R208" s="234"/>
      <c r="S208" s="234"/>
    </row>
    <row r="209">
      <c r="A209" s="234"/>
      <c r="B209" s="234"/>
      <c r="C209" s="236"/>
      <c r="D209" s="234"/>
      <c r="E209" s="234"/>
      <c r="F209" s="234"/>
      <c r="G209" s="234"/>
      <c r="H209" s="234"/>
      <c r="I209" s="234"/>
      <c r="J209" s="234"/>
      <c r="K209" s="234"/>
      <c r="M209" s="234"/>
      <c r="N209" s="234"/>
      <c r="O209" s="238"/>
      <c r="P209" s="234"/>
      <c r="Q209" s="234"/>
      <c r="R209" s="234"/>
      <c r="S209" s="234"/>
    </row>
    <row r="210">
      <c r="A210" s="234"/>
      <c r="B210" s="234"/>
      <c r="C210" s="236"/>
      <c r="D210" s="234"/>
      <c r="E210" s="234"/>
      <c r="F210" s="234"/>
      <c r="G210" s="234"/>
      <c r="H210" s="234"/>
      <c r="I210" s="234"/>
      <c r="J210" s="234"/>
      <c r="K210" s="234"/>
      <c r="M210" s="234"/>
      <c r="N210" s="234"/>
      <c r="O210" s="238"/>
      <c r="P210" s="234"/>
      <c r="Q210" s="234"/>
      <c r="R210" s="234"/>
      <c r="S210" s="234"/>
    </row>
    <row r="211">
      <c r="A211" s="234"/>
      <c r="B211" s="234"/>
      <c r="C211" s="236"/>
      <c r="D211" s="234"/>
      <c r="E211" s="234"/>
      <c r="F211" s="234"/>
      <c r="G211" s="234"/>
      <c r="H211" s="234"/>
      <c r="I211" s="234"/>
      <c r="J211" s="234"/>
      <c r="K211" s="234"/>
      <c r="M211" s="234"/>
      <c r="N211" s="234"/>
      <c r="O211" s="238"/>
      <c r="P211" s="234"/>
      <c r="Q211" s="234"/>
      <c r="R211" s="234"/>
      <c r="S211" s="234"/>
    </row>
    <row r="212">
      <c r="A212" s="234"/>
      <c r="B212" s="234"/>
      <c r="C212" s="236"/>
      <c r="D212" s="234"/>
      <c r="E212" s="234"/>
      <c r="F212" s="234"/>
      <c r="G212" s="234"/>
      <c r="H212" s="234"/>
      <c r="I212" s="234"/>
      <c r="J212" s="234"/>
      <c r="K212" s="234"/>
      <c r="M212" s="234"/>
      <c r="N212" s="234"/>
      <c r="O212" s="238"/>
      <c r="P212" s="234"/>
      <c r="Q212" s="234"/>
      <c r="R212" s="234"/>
      <c r="S212" s="234"/>
    </row>
    <row r="213">
      <c r="A213" s="234"/>
      <c r="B213" s="234"/>
      <c r="C213" s="236"/>
      <c r="D213" s="234"/>
      <c r="E213" s="234"/>
      <c r="F213" s="234"/>
      <c r="G213" s="234"/>
      <c r="H213" s="234"/>
      <c r="I213" s="234"/>
      <c r="J213" s="234"/>
      <c r="K213" s="234"/>
      <c r="M213" s="234"/>
      <c r="N213" s="234"/>
      <c r="O213" s="238"/>
      <c r="P213" s="234"/>
      <c r="Q213" s="234"/>
      <c r="R213" s="234"/>
      <c r="S213" s="234"/>
    </row>
    <row r="214">
      <c r="A214" s="234"/>
      <c r="B214" s="234"/>
      <c r="C214" s="236"/>
      <c r="D214" s="234"/>
      <c r="E214" s="234"/>
      <c r="F214" s="234"/>
      <c r="G214" s="234"/>
      <c r="H214" s="234"/>
      <c r="I214" s="234"/>
      <c r="J214" s="234"/>
      <c r="K214" s="234"/>
      <c r="M214" s="234"/>
      <c r="N214" s="234"/>
      <c r="O214" s="238"/>
      <c r="P214" s="234"/>
      <c r="Q214" s="234"/>
      <c r="R214" s="234"/>
      <c r="S214" s="234"/>
    </row>
    <row r="215">
      <c r="A215" s="234"/>
      <c r="B215" s="234"/>
      <c r="C215" s="236"/>
      <c r="D215" s="234"/>
      <c r="E215" s="234"/>
      <c r="F215" s="234"/>
      <c r="G215" s="234"/>
      <c r="H215" s="234"/>
      <c r="I215" s="234"/>
      <c r="J215" s="234"/>
      <c r="K215" s="234"/>
      <c r="M215" s="234"/>
      <c r="N215" s="234"/>
      <c r="O215" s="238"/>
      <c r="P215" s="234"/>
      <c r="Q215" s="234"/>
      <c r="R215" s="234"/>
      <c r="S215" s="234"/>
    </row>
    <row r="216">
      <c r="A216" s="234"/>
      <c r="B216" s="234"/>
      <c r="C216" s="236"/>
      <c r="D216" s="234"/>
      <c r="E216" s="234"/>
      <c r="F216" s="234"/>
      <c r="G216" s="234"/>
      <c r="H216" s="234"/>
      <c r="I216" s="234"/>
      <c r="J216" s="234"/>
      <c r="K216" s="234"/>
      <c r="M216" s="234"/>
      <c r="N216" s="234"/>
      <c r="O216" s="238"/>
      <c r="P216" s="234"/>
      <c r="Q216" s="234"/>
      <c r="R216" s="234"/>
      <c r="S216" s="234"/>
    </row>
    <row r="217">
      <c r="A217" s="234"/>
      <c r="B217" s="234"/>
      <c r="C217" s="236"/>
      <c r="D217" s="234"/>
      <c r="E217" s="234"/>
      <c r="F217" s="234"/>
      <c r="G217" s="234"/>
      <c r="H217" s="234"/>
      <c r="I217" s="234"/>
      <c r="J217" s="234"/>
      <c r="K217" s="234"/>
      <c r="M217" s="234"/>
      <c r="N217" s="234"/>
      <c r="O217" s="238"/>
      <c r="P217" s="234"/>
      <c r="Q217" s="234"/>
      <c r="R217" s="234"/>
      <c r="S217" s="234"/>
    </row>
    <row r="218">
      <c r="A218" s="234"/>
      <c r="B218" s="234"/>
      <c r="C218" s="236"/>
      <c r="D218" s="234"/>
      <c r="E218" s="234"/>
      <c r="F218" s="234"/>
      <c r="G218" s="234"/>
      <c r="H218" s="234"/>
      <c r="I218" s="234"/>
      <c r="J218" s="234"/>
      <c r="K218" s="234"/>
      <c r="M218" s="234"/>
      <c r="N218" s="234"/>
      <c r="O218" s="238"/>
      <c r="P218" s="234"/>
      <c r="Q218" s="234"/>
      <c r="R218" s="234"/>
      <c r="S218" s="234"/>
    </row>
    <row r="219">
      <c r="A219" s="234"/>
      <c r="B219" s="234"/>
      <c r="C219" s="236"/>
      <c r="D219" s="234"/>
      <c r="E219" s="234"/>
      <c r="F219" s="234"/>
      <c r="G219" s="234"/>
      <c r="H219" s="234"/>
      <c r="I219" s="234"/>
      <c r="J219" s="234"/>
      <c r="K219" s="234"/>
      <c r="M219" s="234"/>
      <c r="N219" s="234"/>
      <c r="O219" s="238"/>
      <c r="P219" s="234"/>
      <c r="Q219" s="234"/>
      <c r="R219" s="234"/>
      <c r="S219" s="234"/>
    </row>
    <row r="220">
      <c r="A220" s="234"/>
      <c r="B220" s="234"/>
      <c r="C220" s="236"/>
      <c r="D220" s="234"/>
      <c r="E220" s="234"/>
      <c r="F220" s="234"/>
      <c r="G220" s="234"/>
      <c r="H220" s="234"/>
      <c r="I220" s="234"/>
      <c r="J220" s="234"/>
      <c r="K220" s="234"/>
      <c r="M220" s="234"/>
      <c r="N220" s="234"/>
      <c r="O220" s="238"/>
      <c r="P220" s="234"/>
      <c r="Q220" s="234"/>
      <c r="R220" s="234"/>
      <c r="S220" s="234"/>
    </row>
    <row r="221">
      <c r="A221" s="234"/>
      <c r="B221" s="234"/>
      <c r="C221" s="236"/>
      <c r="D221" s="234"/>
      <c r="E221" s="234"/>
      <c r="F221" s="234"/>
      <c r="G221" s="234"/>
      <c r="H221" s="234"/>
      <c r="I221" s="234"/>
      <c r="J221" s="234"/>
      <c r="K221" s="234"/>
      <c r="M221" s="234"/>
      <c r="N221" s="234"/>
      <c r="O221" s="238"/>
      <c r="P221" s="234"/>
      <c r="Q221" s="234"/>
      <c r="R221" s="234"/>
      <c r="S221" s="234"/>
    </row>
    <row r="222">
      <c r="A222" s="234"/>
      <c r="B222" s="234"/>
      <c r="C222" s="236"/>
      <c r="D222" s="234"/>
      <c r="E222" s="234"/>
      <c r="F222" s="234"/>
      <c r="G222" s="234"/>
      <c r="H222" s="234"/>
      <c r="I222" s="234"/>
      <c r="J222" s="234"/>
      <c r="K222" s="234"/>
      <c r="M222" s="234"/>
      <c r="N222" s="234"/>
      <c r="O222" s="238"/>
      <c r="P222" s="234"/>
      <c r="Q222" s="234"/>
      <c r="R222" s="234"/>
      <c r="S222" s="234"/>
    </row>
    <row r="223">
      <c r="A223" s="234"/>
      <c r="B223" s="234"/>
      <c r="C223" s="236"/>
      <c r="D223" s="234"/>
      <c r="E223" s="234"/>
      <c r="F223" s="234"/>
      <c r="G223" s="234"/>
      <c r="H223" s="234"/>
      <c r="I223" s="234"/>
      <c r="J223" s="234"/>
      <c r="K223" s="234"/>
      <c r="M223" s="234"/>
      <c r="N223" s="234"/>
      <c r="O223" s="238"/>
      <c r="P223" s="234"/>
      <c r="Q223" s="234"/>
      <c r="R223" s="234"/>
      <c r="S223" s="234"/>
    </row>
    <row r="224">
      <c r="A224" s="234"/>
      <c r="B224" s="234"/>
      <c r="C224" s="236"/>
      <c r="D224" s="234"/>
      <c r="E224" s="234"/>
      <c r="F224" s="234"/>
      <c r="G224" s="234"/>
      <c r="H224" s="234"/>
      <c r="I224" s="234"/>
      <c r="J224" s="234"/>
      <c r="K224" s="234"/>
      <c r="M224" s="234"/>
      <c r="N224" s="234"/>
      <c r="O224" s="238"/>
      <c r="P224" s="234"/>
      <c r="Q224" s="234"/>
      <c r="R224" s="234"/>
      <c r="S224" s="234"/>
    </row>
    <row r="225">
      <c r="A225" s="234"/>
      <c r="B225" s="234"/>
      <c r="C225" s="236"/>
      <c r="D225" s="234"/>
      <c r="E225" s="234"/>
      <c r="F225" s="234"/>
      <c r="G225" s="234"/>
      <c r="H225" s="234"/>
      <c r="I225" s="234"/>
      <c r="J225" s="234"/>
      <c r="K225" s="234"/>
      <c r="M225" s="234"/>
      <c r="N225" s="234"/>
      <c r="O225" s="238"/>
      <c r="P225" s="234"/>
      <c r="Q225" s="234"/>
      <c r="R225" s="234"/>
      <c r="S225" s="234"/>
    </row>
    <row r="226">
      <c r="A226" s="234"/>
      <c r="B226" s="234"/>
      <c r="C226" s="236"/>
      <c r="D226" s="234"/>
      <c r="E226" s="234"/>
      <c r="F226" s="234"/>
      <c r="G226" s="234"/>
      <c r="H226" s="234"/>
      <c r="I226" s="234"/>
      <c r="J226" s="234"/>
      <c r="K226" s="234"/>
      <c r="M226" s="234"/>
      <c r="N226" s="234"/>
      <c r="O226" s="238"/>
      <c r="P226" s="234"/>
      <c r="Q226" s="234"/>
      <c r="R226" s="234"/>
      <c r="S226" s="234"/>
    </row>
    <row r="227">
      <c r="A227" s="234"/>
      <c r="B227" s="234"/>
      <c r="C227" s="236"/>
      <c r="D227" s="234"/>
      <c r="E227" s="234"/>
      <c r="F227" s="234"/>
      <c r="G227" s="234"/>
      <c r="H227" s="234"/>
      <c r="I227" s="234"/>
      <c r="J227" s="234"/>
      <c r="K227" s="234"/>
      <c r="M227" s="234"/>
      <c r="N227" s="234"/>
      <c r="O227" s="238"/>
      <c r="P227" s="234"/>
      <c r="Q227" s="234"/>
      <c r="R227" s="234"/>
      <c r="S227" s="234"/>
    </row>
    <row r="228">
      <c r="A228" s="234"/>
      <c r="B228" s="234"/>
      <c r="C228" s="236"/>
      <c r="D228" s="234"/>
      <c r="E228" s="234"/>
      <c r="F228" s="234"/>
      <c r="G228" s="234"/>
      <c r="H228" s="234"/>
      <c r="I228" s="234"/>
      <c r="J228" s="234"/>
      <c r="K228" s="234"/>
      <c r="M228" s="234"/>
      <c r="N228" s="234"/>
      <c r="O228" s="238"/>
      <c r="P228" s="234"/>
      <c r="Q228" s="234"/>
      <c r="R228" s="234"/>
      <c r="S228" s="234"/>
    </row>
    <row r="229">
      <c r="A229" s="234"/>
      <c r="B229" s="234"/>
      <c r="C229" s="236"/>
      <c r="D229" s="234"/>
      <c r="E229" s="234"/>
      <c r="F229" s="234"/>
      <c r="G229" s="234"/>
      <c r="H229" s="234"/>
      <c r="I229" s="234"/>
      <c r="J229" s="234"/>
      <c r="K229" s="234"/>
      <c r="M229" s="234"/>
      <c r="N229" s="234"/>
      <c r="O229" s="238"/>
      <c r="P229" s="234"/>
      <c r="Q229" s="234"/>
      <c r="R229" s="234"/>
      <c r="S229" s="234"/>
    </row>
    <row r="230">
      <c r="A230" s="234"/>
      <c r="B230" s="234"/>
      <c r="C230" s="236"/>
      <c r="D230" s="234"/>
      <c r="E230" s="234"/>
      <c r="F230" s="234"/>
      <c r="G230" s="234"/>
      <c r="H230" s="234"/>
      <c r="I230" s="234"/>
      <c r="J230" s="234"/>
      <c r="K230" s="234"/>
      <c r="M230" s="234"/>
      <c r="N230" s="234"/>
      <c r="O230" s="238"/>
      <c r="P230" s="234"/>
      <c r="Q230" s="234"/>
      <c r="R230" s="234"/>
      <c r="S230" s="234"/>
    </row>
    <row r="231">
      <c r="A231" s="234"/>
      <c r="B231" s="234"/>
      <c r="C231" s="236"/>
      <c r="D231" s="234"/>
      <c r="E231" s="234"/>
      <c r="F231" s="234"/>
      <c r="G231" s="234"/>
      <c r="H231" s="234"/>
      <c r="I231" s="234"/>
      <c r="J231" s="234"/>
      <c r="K231" s="234"/>
      <c r="M231" s="234"/>
      <c r="N231" s="234"/>
      <c r="O231" s="238"/>
      <c r="P231" s="234"/>
      <c r="Q231" s="234"/>
      <c r="R231" s="234"/>
      <c r="S231" s="234"/>
    </row>
    <row r="232">
      <c r="A232" s="234"/>
      <c r="B232" s="234"/>
      <c r="C232" s="236"/>
      <c r="D232" s="234"/>
      <c r="E232" s="234"/>
      <c r="F232" s="234"/>
      <c r="G232" s="234"/>
      <c r="H232" s="234"/>
      <c r="I232" s="234"/>
      <c r="J232" s="234"/>
      <c r="K232" s="234"/>
      <c r="M232" s="234"/>
      <c r="N232" s="234"/>
      <c r="O232" s="238"/>
      <c r="P232" s="234"/>
      <c r="Q232" s="234"/>
      <c r="R232" s="234"/>
      <c r="S232" s="234"/>
    </row>
    <row r="233">
      <c r="A233" s="234"/>
      <c r="B233" s="234"/>
      <c r="C233" s="236"/>
      <c r="D233" s="234"/>
      <c r="E233" s="234"/>
      <c r="F233" s="234"/>
      <c r="G233" s="234"/>
      <c r="H233" s="234"/>
      <c r="I233" s="234"/>
      <c r="J233" s="234"/>
      <c r="K233" s="234"/>
      <c r="M233" s="234"/>
      <c r="N233" s="234"/>
      <c r="O233" s="238"/>
      <c r="P233" s="234"/>
      <c r="Q233" s="234"/>
      <c r="R233" s="234"/>
      <c r="S233" s="234"/>
    </row>
    <row r="234">
      <c r="A234" s="234"/>
      <c r="B234" s="234"/>
      <c r="C234" s="236"/>
      <c r="D234" s="234"/>
      <c r="E234" s="234"/>
      <c r="F234" s="234"/>
      <c r="G234" s="234"/>
      <c r="H234" s="234"/>
      <c r="I234" s="234"/>
      <c r="J234" s="234"/>
      <c r="K234" s="234"/>
      <c r="M234" s="234"/>
      <c r="N234" s="234"/>
      <c r="O234" s="238"/>
      <c r="P234" s="234"/>
      <c r="Q234" s="234"/>
      <c r="R234" s="234"/>
      <c r="S234" s="234"/>
    </row>
    <row r="235">
      <c r="A235" s="234"/>
      <c r="B235" s="234"/>
      <c r="C235" s="236"/>
      <c r="D235" s="234"/>
      <c r="E235" s="234"/>
      <c r="F235" s="234"/>
      <c r="G235" s="234"/>
      <c r="H235" s="234"/>
      <c r="I235" s="234"/>
      <c r="J235" s="234"/>
      <c r="K235" s="234"/>
      <c r="M235" s="234"/>
      <c r="N235" s="234"/>
      <c r="O235" s="238"/>
      <c r="P235" s="234"/>
      <c r="Q235" s="234"/>
      <c r="R235" s="234"/>
      <c r="S235" s="234"/>
    </row>
    <row r="236">
      <c r="A236" s="234"/>
      <c r="B236" s="234"/>
      <c r="C236" s="236"/>
      <c r="D236" s="234"/>
      <c r="E236" s="234"/>
      <c r="F236" s="234"/>
      <c r="G236" s="234"/>
      <c r="H236" s="234"/>
      <c r="I236" s="234"/>
      <c r="J236" s="234"/>
      <c r="K236" s="234"/>
      <c r="M236" s="234"/>
      <c r="N236" s="234"/>
      <c r="O236" s="238"/>
      <c r="P236" s="234"/>
      <c r="Q236" s="234"/>
      <c r="R236" s="234"/>
      <c r="S236" s="234"/>
    </row>
    <row r="237">
      <c r="A237" s="234"/>
      <c r="B237" s="234"/>
      <c r="C237" s="236"/>
      <c r="D237" s="234"/>
      <c r="E237" s="234"/>
      <c r="F237" s="234"/>
      <c r="G237" s="234"/>
      <c r="H237" s="234"/>
      <c r="I237" s="234"/>
      <c r="J237" s="234"/>
      <c r="K237" s="234"/>
      <c r="M237" s="234"/>
      <c r="N237" s="234"/>
      <c r="O237" s="238"/>
      <c r="P237" s="234"/>
      <c r="Q237" s="234"/>
      <c r="R237" s="234"/>
      <c r="S237" s="234"/>
    </row>
    <row r="238">
      <c r="A238" s="234"/>
      <c r="B238" s="234"/>
      <c r="C238" s="236"/>
      <c r="D238" s="234"/>
      <c r="E238" s="234"/>
      <c r="F238" s="234"/>
      <c r="G238" s="234"/>
      <c r="H238" s="234"/>
      <c r="I238" s="234"/>
      <c r="J238" s="234"/>
      <c r="K238" s="234"/>
      <c r="M238" s="234"/>
      <c r="N238" s="234"/>
      <c r="O238" s="238"/>
      <c r="P238" s="234"/>
      <c r="Q238" s="234"/>
      <c r="R238" s="234"/>
      <c r="S238" s="234"/>
    </row>
    <row r="239">
      <c r="A239" s="234"/>
      <c r="B239" s="234"/>
      <c r="C239" s="236"/>
      <c r="D239" s="234"/>
      <c r="E239" s="234"/>
      <c r="F239" s="234"/>
      <c r="G239" s="234"/>
      <c r="H239" s="234"/>
      <c r="I239" s="234"/>
      <c r="J239" s="234"/>
      <c r="K239" s="234"/>
      <c r="M239" s="234"/>
      <c r="N239" s="234"/>
      <c r="O239" s="238"/>
      <c r="P239" s="234"/>
      <c r="Q239" s="234"/>
      <c r="R239" s="234"/>
      <c r="S239" s="234"/>
    </row>
    <row r="240">
      <c r="A240" s="234"/>
      <c r="B240" s="234"/>
      <c r="C240" s="236"/>
      <c r="D240" s="234"/>
      <c r="E240" s="234"/>
      <c r="F240" s="234"/>
      <c r="G240" s="234"/>
      <c r="H240" s="234"/>
      <c r="I240" s="234"/>
      <c r="J240" s="234"/>
      <c r="K240" s="234"/>
      <c r="M240" s="234"/>
      <c r="N240" s="234"/>
      <c r="O240" s="238"/>
      <c r="P240" s="234"/>
      <c r="Q240" s="234"/>
      <c r="R240" s="234"/>
      <c r="S240" s="234"/>
    </row>
    <row r="241">
      <c r="A241" s="234"/>
      <c r="B241" s="234"/>
      <c r="C241" s="236"/>
      <c r="D241" s="234"/>
      <c r="E241" s="234"/>
      <c r="F241" s="234"/>
      <c r="G241" s="234"/>
      <c r="H241" s="234"/>
      <c r="I241" s="234"/>
      <c r="J241" s="234"/>
      <c r="K241" s="234"/>
      <c r="M241" s="234"/>
      <c r="N241" s="234"/>
      <c r="O241" s="238"/>
      <c r="P241" s="234"/>
      <c r="Q241" s="234"/>
      <c r="R241" s="234"/>
      <c r="S241" s="234"/>
    </row>
    <row r="242">
      <c r="A242" s="234"/>
      <c r="B242" s="234"/>
      <c r="C242" s="236"/>
      <c r="D242" s="234"/>
      <c r="E242" s="234"/>
      <c r="F242" s="234"/>
      <c r="G242" s="234"/>
      <c r="H242" s="234"/>
      <c r="I242" s="234"/>
      <c r="J242" s="234"/>
      <c r="K242" s="234"/>
      <c r="M242" s="234"/>
      <c r="N242" s="234"/>
      <c r="O242" s="238"/>
      <c r="P242" s="234"/>
      <c r="Q242" s="234"/>
      <c r="R242" s="234"/>
      <c r="S242" s="234"/>
    </row>
    <row r="243">
      <c r="A243" s="234"/>
      <c r="B243" s="234"/>
      <c r="C243" s="236"/>
      <c r="D243" s="234"/>
      <c r="E243" s="234"/>
      <c r="F243" s="234"/>
      <c r="G243" s="234"/>
      <c r="H243" s="234"/>
      <c r="I243" s="234"/>
      <c r="J243" s="234"/>
      <c r="K243" s="234"/>
      <c r="M243" s="234"/>
      <c r="N243" s="234"/>
      <c r="O243" s="238"/>
      <c r="P243" s="234"/>
      <c r="Q243" s="234"/>
      <c r="R243" s="234"/>
      <c r="S243" s="234"/>
    </row>
    <row r="244">
      <c r="A244" s="234"/>
      <c r="B244" s="234"/>
      <c r="C244" s="236"/>
      <c r="D244" s="234"/>
      <c r="E244" s="234"/>
      <c r="F244" s="234"/>
      <c r="G244" s="234"/>
      <c r="H244" s="234"/>
      <c r="I244" s="234"/>
      <c r="J244" s="234"/>
      <c r="K244" s="234"/>
      <c r="M244" s="234"/>
      <c r="N244" s="234"/>
      <c r="O244" s="238"/>
      <c r="P244" s="234"/>
      <c r="Q244" s="234"/>
      <c r="R244" s="234"/>
      <c r="S244" s="234"/>
    </row>
    <row r="245">
      <c r="A245" s="234"/>
      <c r="B245" s="234"/>
      <c r="C245" s="236"/>
      <c r="D245" s="234"/>
      <c r="E245" s="234"/>
      <c r="F245" s="234"/>
      <c r="G245" s="234"/>
      <c r="H245" s="234"/>
      <c r="I245" s="234"/>
      <c r="J245" s="234"/>
      <c r="K245" s="234"/>
      <c r="M245" s="234"/>
      <c r="N245" s="234"/>
      <c r="O245" s="238"/>
      <c r="P245" s="234"/>
      <c r="Q245" s="234"/>
      <c r="R245" s="234"/>
      <c r="S245" s="234"/>
    </row>
    <row r="246">
      <c r="A246" s="234"/>
      <c r="B246" s="234"/>
      <c r="C246" s="236"/>
      <c r="D246" s="234"/>
      <c r="E246" s="234"/>
      <c r="F246" s="234"/>
      <c r="G246" s="234"/>
      <c r="H246" s="234"/>
      <c r="I246" s="234"/>
      <c r="J246" s="234"/>
      <c r="K246" s="234"/>
      <c r="M246" s="234"/>
      <c r="N246" s="234"/>
      <c r="O246" s="238"/>
      <c r="P246" s="234"/>
      <c r="Q246" s="234"/>
      <c r="R246" s="234"/>
      <c r="S246" s="234"/>
    </row>
    <row r="247">
      <c r="A247" s="234"/>
      <c r="B247" s="234"/>
      <c r="C247" s="236"/>
      <c r="D247" s="234"/>
      <c r="E247" s="234"/>
      <c r="F247" s="234"/>
      <c r="G247" s="234"/>
      <c r="H247" s="234"/>
      <c r="I247" s="234"/>
      <c r="J247" s="234"/>
      <c r="K247" s="234"/>
      <c r="M247" s="234"/>
      <c r="N247" s="234"/>
      <c r="O247" s="238"/>
      <c r="P247" s="234"/>
      <c r="Q247" s="234"/>
      <c r="R247" s="234"/>
      <c r="S247" s="234"/>
    </row>
    <row r="248">
      <c r="A248" s="234"/>
      <c r="B248" s="234"/>
      <c r="C248" s="236"/>
      <c r="D248" s="234"/>
      <c r="E248" s="234"/>
      <c r="F248" s="234"/>
      <c r="G248" s="234"/>
      <c r="H248" s="234"/>
      <c r="I248" s="234"/>
      <c r="J248" s="234"/>
      <c r="K248" s="234"/>
      <c r="M248" s="234"/>
      <c r="N248" s="234"/>
      <c r="O248" s="238"/>
      <c r="P248" s="234"/>
      <c r="Q248" s="234"/>
      <c r="R248" s="234"/>
      <c r="S248" s="234"/>
    </row>
    <row r="249">
      <c r="A249" s="234"/>
      <c r="B249" s="234"/>
      <c r="C249" s="236"/>
      <c r="D249" s="234"/>
      <c r="E249" s="234"/>
      <c r="F249" s="234"/>
      <c r="G249" s="234"/>
      <c r="H249" s="234"/>
      <c r="I249" s="234"/>
      <c r="J249" s="234"/>
      <c r="K249" s="234"/>
      <c r="M249" s="234"/>
      <c r="N249" s="234"/>
      <c r="O249" s="238"/>
      <c r="P249" s="234"/>
      <c r="Q249" s="234"/>
      <c r="R249" s="234"/>
      <c r="S249" s="234"/>
    </row>
    <row r="250">
      <c r="A250" s="234"/>
      <c r="B250" s="234"/>
      <c r="C250" s="236"/>
      <c r="D250" s="234"/>
      <c r="E250" s="234"/>
      <c r="F250" s="234"/>
      <c r="G250" s="234"/>
      <c r="H250" s="234"/>
      <c r="I250" s="234"/>
      <c r="J250" s="234"/>
      <c r="K250" s="234"/>
      <c r="M250" s="234"/>
      <c r="N250" s="234"/>
      <c r="O250" s="238"/>
      <c r="P250" s="234"/>
      <c r="Q250" s="234"/>
      <c r="R250" s="234"/>
      <c r="S250" s="234"/>
    </row>
    <row r="251">
      <c r="A251" s="234"/>
      <c r="B251" s="234"/>
      <c r="C251" s="236"/>
      <c r="D251" s="234"/>
      <c r="E251" s="234"/>
      <c r="F251" s="234"/>
      <c r="G251" s="234"/>
      <c r="H251" s="234"/>
      <c r="I251" s="234"/>
      <c r="J251" s="234"/>
      <c r="K251" s="234"/>
      <c r="M251" s="234"/>
      <c r="N251" s="234"/>
      <c r="O251" s="238"/>
      <c r="P251" s="234"/>
      <c r="Q251" s="234"/>
      <c r="R251" s="234"/>
      <c r="S251" s="234"/>
    </row>
    <row r="252">
      <c r="A252" s="234"/>
      <c r="B252" s="234"/>
      <c r="C252" s="236"/>
      <c r="D252" s="234"/>
      <c r="E252" s="234"/>
      <c r="F252" s="234"/>
      <c r="G252" s="234"/>
      <c r="H252" s="234"/>
      <c r="I252" s="234"/>
      <c r="J252" s="234"/>
      <c r="K252" s="234"/>
      <c r="M252" s="234"/>
      <c r="N252" s="234"/>
      <c r="O252" s="238"/>
      <c r="P252" s="234"/>
      <c r="Q252" s="234"/>
      <c r="R252" s="234"/>
      <c r="S252" s="234"/>
    </row>
    <row r="253">
      <c r="A253" s="234"/>
      <c r="B253" s="234"/>
      <c r="C253" s="236"/>
      <c r="D253" s="234"/>
      <c r="E253" s="234"/>
      <c r="F253" s="234"/>
      <c r="G253" s="234"/>
      <c r="H253" s="234"/>
      <c r="I253" s="234"/>
      <c r="J253" s="234"/>
      <c r="K253" s="234"/>
      <c r="M253" s="234"/>
      <c r="N253" s="234"/>
      <c r="O253" s="238"/>
      <c r="P253" s="234"/>
      <c r="Q253" s="234"/>
      <c r="R253" s="234"/>
      <c r="S253" s="234"/>
    </row>
    <row r="254">
      <c r="A254" s="234"/>
      <c r="B254" s="234"/>
      <c r="C254" s="236"/>
      <c r="D254" s="234"/>
      <c r="E254" s="234"/>
      <c r="F254" s="234"/>
      <c r="G254" s="234"/>
      <c r="H254" s="234"/>
      <c r="I254" s="234"/>
      <c r="J254" s="234"/>
      <c r="K254" s="234"/>
      <c r="M254" s="234"/>
      <c r="N254" s="234"/>
      <c r="O254" s="238"/>
      <c r="P254" s="234"/>
      <c r="Q254" s="234"/>
      <c r="R254" s="234"/>
      <c r="S254" s="234"/>
    </row>
    <row r="255">
      <c r="A255" s="234"/>
      <c r="B255" s="234"/>
      <c r="C255" s="236"/>
      <c r="D255" s="234"/>
      <c r="E255" s="234"/>
      <c r="F255" s="234"/>
      <c r="G255" s="234"/>
      <c r="H255" s="234"/>
      <c r="I255" s="234"/>
      <c r="J255" s="234"/>
      <c r="K255" s="234"/>
      <c r="M255" s="234"/>
      <c r="N255" s="234"/>
      <c r="O255" s="238"/>
      <c r="P255" s="234"/>
      <c r="Q255" s="234"/>
      <c r="R255" s="234"/>
      <c r="S255" s="234"/>
    </row>
    <row r="256">
      <c r="A256" s="234"/>
      <c r="B256" s="234"/>
      <c r="C256" s="236"/>
      <c r="D256" s="234"/>
      <c r="E256" s="234"/>
      <c r="F256" s="234"/>
      <c r="G256" s="234"/>
      <c r="H256" s="234"/>
      <c r="I256" s="234"/>
      <c r="J256" s="234"/>
      <c r="K256" s="234"/>
      <c r="M256" s="234"/>
      <c r="N256" s="234"/>
      <c r="O256" s="238"/>
      <c r="P256" s="234"/>
      <c r="Q256" s="234"/>
      <c r="R256" s="234"/>
      <c r="S256" s="234"/>
    </row>
    <row r="257">
      <c r="A257" s="234"/>
      <c r="B257" s="234"/>
      <c r="C257" s="236"/>
      <c r="D257" s="234"/>
      <c r="E257" s="234"/>
      <c r="F257" s="234"/>
      <c r="G257" s="234"/>
      <c r="H257" s="234"/>
      <c r="I257" s="234"/>
      <c r="J257" s="234"/>
      <c r="K257" s="234"/>
      <c r="M257" s="234"/>
      <c r="N257" s="234"/>
      <c r="O257" s="238"/>
      <c r="P257" s="234"/>
      <c r="Q257" s="234"/>
      <c r="R257" s="234"/>
      <c r="S257" s="234"/>
    </row>
    <row r="258">
      <c r="A258" s="234"/>
      <c r="B258" s="234"/>
      <c r="C258" s="236"/>
      <c r="D258" s="234"/>
      <c r="E258" s="234"/>
      <c r="F258" s="234"/>
      <c r="G258" s="234"/>
      <c r="H258" s="234"/>
      <c r="I258" s="234"/>
      <c r="J258" s="234"/>
      <c r="K258" s="234"/>
      <c r="M258" s="234"/>
      <c r="N258" s="234"/>
      <c r="O258" s="238"/>
      <c r="P258" s="234"/>
      <c r="Q258" s="234"/>
      <c r="R258" s="234"/>
      <c r="S258" s="234"/>
    </row>
    <row r="259">
      <c r="A259" s="234"/>
      <c r="B259" s="234"/>
      <c r="C259" s="236"/>
      <c r="D259" s="234"/>
      <c r="E259" s="234"/>
      <c r="F259" s="234"/>
      <c r="G259" s="234"/>
      <c r="H259" s="234"/>
      <c r="I259" s="234"/>
      <c r="J259" s="234"/>
      <c r="K259" s="234"/>
      <c r="M259" s="234"/>
      <c r="N259" s="234"/>
      <c r="O259" s="238"/>
      <c r="P259" s="234"/>
      <c r="Q259" s="234"/>
      <c r="R259" s="234"/>
      <c r="S259" s="234"/>
    </row>
    <row r="260">
      <c r="A260" s="234"/>
      <c r="B260" s="234"/>
      <c r="C260" s="236"/>
      <c r="D260" s="234"/>
      <c r="E260" s="234"/>
      <c r="F260" s="234"/>
      <c r="G260" s="234"/>
      <c r="H260" s="234"/>
      <c r="I260" s="234"/>
      <c r="J260" s="234"/>
      <c r="K260" s="234"/>
      <c r="M260" s="234"/>
      <c r="N260" s="234"/>
      <c r="O260" s="238"/>
      <c r="P260" s="234"/>
      <c r="Q260" s="234"/>
      <c r="R260" s="234"/>
      <c r="S260" s="234"/>
    </row>
    <row r="261">
      <c r="A261" s="234"/>
      <c r="B261" s="234"/>
      <c r="C261" s="236"/>
      <c r="D261" s="234"/>
      <c r="E261" s="234"/>
      <c r="F261" s="234"/>
      <c r="G261" s="234"/>
      <c r="H261" s="234"/>
      <c r="I261" s="234"/>
      <c r="J261" s="234"/>
      <c r="K261" s="234"/>
      <c r="M261" s="234"/>
      <c r="N261" s="234"/>
      <c r="O261" s="238"/>
      <c r="P261" s="234"/>
      <c r="Q261" s="234"/>
      <c r="R261" s="234"/>
      <c r="S261" s="234"/>
    </row>
    <row r="262">
      <c r="A262" s="234"/>
      <c r="B262" s="234"/>
      <c r="C262" s="236"/>
      <c r="D262" s="234"/>
      <c r="E262" s="234"/>
      <c r="F262" s="234"/>
      <c r="G262" s="234"/>
      <c r="H262" s="234"/>
      <c r="I262" s="234"/>
      <c r="J262" s="234"/>
      <c r="K262" s="234"/>
      <c r="M262" s="234"/>
      <c r="N262" s="234"/>
      <c r="O262" s="238"/>
      <c r="P262" s="234"/>
      <c r="Q262" s="234"/>
      <c r="R262" s="234"/>
      <c r="S262" s="234"/>
    </row>
    <row r="263">
      <c r="A263" s="234"/>
      <c r="B263" s="234"/>
      <c r="C263" s="236"/>
      <c r="D263" s="234"/>
      <c r="E263" s="234"/>
      <c r="F263" s="234"/>
      <c r="G263" s="234"/>
      <c r="H263" s="234"/>
      <c r="I263" s="234"/>
      <c r="J263" s="234"/>
      <c r="K263" s="234"/>
      <c r="M263" s="234"/>
      <c r="N263" s="234"/>
      <c r="O263" s="238"/>
      <c r="P263" s="234"/>
      <c r="Q263" s="234"/>
      <c r="R263" s="234"/>
      <c r="S263" s="234"/>
    </row>
    <row r="264">
      <c r="A264" s="234"/>
      <c r="B264" s="234"/>
      <c r="C264" s="236"/>
      <c r="D264" s="234"/>
      <c r="E264" s="234"/>
      <c r="F264" s="234"/>
      <c r="G264" s="234"/>
      <c r="H264" s="234"/>
      <c r="I264" s="234"/>
      <c r="J264" s="234"/>
      <c r="K264" s="234"/>
      <c r="M264" s="234"/>
      <c r="N264" s="234"/>
      <c r="O264" s="238"/>
      <c r="P264" s="234"/>
      <c r="Q264" s="234"/>
      <c r="R264" s="234"/>
      <c r="S264" s="234"/>
    </row>
    <row r="265">
      <c r="A265" s="234"/>
      <c r="B265" s="234"/>
      <c r="C265" s="236"/>
      <c r="D265" s="234"/>
      <c r="E265" s="234"/>
      <c r="F265" s="234"/>
      <c r="G265" s="234"/>
      <c r="H265" s="234"/>
      <c r="I265" s="234"/>
      <c r="J265" s="234"/>
      <c r="K265" s="234"/>
      <c r="M265" s="234"/>
      <c r="N265" s="234"/>
      <c r="O265" s="238"/>
      <c r="P265" s="234"/>
      <c r="Q265" s="234"/>
      <c r="R265" s="234"/>
      <c r="S265" s="234"/>
    </row>
    <row r="266">
      <c r="A266" s="234"/>
      <c r="B266" s="234"/>
      <c r="C266" s="236"/>
      <c r="D266" s="234"/>
      <c r="E266" s="234"/>
      <c r="F266" s="234"/>
      <c r="G266" s="234"/>
      <c r="H266" s="234"/>
      <c r="I266" s="234"/>
      <c r="J266" s="234"/>
      <c r="K266" s="234"/>
      <c r="M266" s="234"/>
      <c r="N266" s="234"/>
      <c r="O266" s="238"/>
      <c r="P266" s="234"/>
      <c r="Q266" s="234"/>
      <c r="R266" s="234"/>
      <c r="S266" s="234"/>
    </row>
    <row r="267">
      <c r="A267" s="234"/>
      <c r="B267" s="234"/>
      <c r="C267" s="236"/>
      <c r="D267" s="234"/>
      <c r="E267" s="234"/>
      <c r="F267" s="234"/>
      <c r="G267" s="234"/>
      <c r="H267" s="234"/>
      <c r="I267" s="234"/>
      <c r="J267" s="234"/>
      <c r="K267" s="234"/>
      <c r="M267" s="234"/>
      <c r="N267" s="234"/>
      <c r="O267" s="238"/>
      <c r="P267" s="234"/>
      <c r="Q267" s="234"/>
      <c r="R267" s="234"/>
      <c r="S267" s="234"/>
    </row>
    <row r="268">
      <c r="A268" s="234"/>
      <c r="B268" s="234"/>
      <c r="C268" s="236"/>
      <c r="D268" s="234"/>
      <c r="E268" s="234"/>
      <c r="F268" s="234"/>
      <c r="G268" s="234"/>
      <c r="H268" s="234"/>
      <c r="I268" s="234"/>
      <c r="J268" s="234"/>
      <c r="K268" s="234"/>
      <c r="M268" s="234"/>
      <c r="N268" s="234"/>
      <c r="O268" s="238"/>
      <c r="P268" s="234"/>
      <c r="Q268" s="234"/>
      <c r="R268" s="234"/>
      <c r="S268" s="234"/>
    </row>
    <row r="269">
      <c r="A269" s="234"/>
      <c r="B269" s="234"/>
      <c r="C269" s="236"/>
      <c r="D269" s="234"/>
      <c r="E269" s="234"/>
      <c r="F269" s="234"/>
      <c r="G269" s="234"/>
      <c r="H269" s="234"/>
      <c r="I269" s="234"/>
      <c r="J269" s="234"/>
      <c r="K269" s="234"/>
      <c r="M269" s="234"/>
      <c r="N269" s="234"/>
      <c r="O269" s="238"/>
      <c r="P269" s="234"/>
      <c r="Q269" s="234"/>
      <c r="R269" s="234"/>
      <c r="S269" s="234"/>
    </row>
    <row r="270">
      <c r="A270" s="234"/>
      <c r="B270" s="234"/>
      <c r="C270" s="236"/>
      <c r="D270" s="234"/>
      <c r="E270" s="234"/>
      <c r="F270" s="234"/>
      <c r="G270" s="234"/>
      <c r="H270" s="234"/>
      <c r="I270" s="234"/>
      <c r="J270" s="234"/>
      <c r="K270" s="234"/>
      <c r="M270" s="234"/>
      <c r="N270" s="234"/>
      <c r="O270" s="238"/>
      <c r="P270" s="234"/>
      <c r="Q270" s="234"/>
      <c r="R270" s="234"/>
      <c r="S270" s="234"/>
    </row>
    <row r="271">
      <c r="A271" s="234"/>
      <c r="B271" s="234"/>
      <c r="C271" s="236"/>
      <c r="D271" s="234"/>
      <c r="E271" s="234"/>
      <c r="F271" s="234"/>
      <c r="G271" s="234"/>
      <c r="H271" s="234"/>
      <c r="I271" s="234"/>
      <c r="J271" s="234"/>
      <c r="K271" s="234"/>
      <c r="M271" s="234"/>
      <c r="N271" s="234"/>
      <c r="O271" s="238"/>
      <c r="P271" s="234"/>
      <c r="Q271" s="234"/>
      <c r="R271" s="234"/>
      <c r="S271" s="234"/>
    </row>
    <row r="272">
      <c r="A272" s="234"/>
      <c r="B272" s="234"/>
      <c r="C272" s="236"/>
      <c r="D272" s="234"/>
      <c r="E272" s="234"/>
      <c r="F272" s="234"/>
      <c r="G272" s="234"/>
      <c r="H272" s="234"/>
      <c r="I272" s="234"/>
      <c r="J272" s="234"/>
      <c r="K272" s="234"/>
      <c r="M272" s="234"/>
      <c r="N272" s="234"/>
      <c r="O272" s="238"/>
      <c r="P272" s="234"/>
      <c r="Q272" s="234"/>
      <c r="R272" s="234"/>
      <c r="S272" s="234"/>
    </row>
    <row r="273">
      <c r="A273" s="234"/>
      <c r="B273" s="234"/>
      <c r="C273" s="236"/>
      <c r="D273" s="234"/>
      <c r="E273" s="234"/>
      <c r="F273" s="234"/>
      <c r="G273" s="234"/>
      <c r="H273" s="234"/>
      <c r="I273" s="234"/>
      <c r="J273" s="234"/>
      <c r="K273" s="234"/>
      <c r="M273" s="234"/>
      <c r="N273" s="234"/>
      <c r="O273" s="238"/>
      <c r="P273" s="234"/>
      <c r="Q273" s="234"/>
      <c r="R273" s="234"/>
      <c r="S273" s="234"/>
    </row>
    <row r="274">
      <c r="A274" s="234"/>
      <c r="B274" s="234"/>
      <c r="C274" s="236"/>
      <c r="D274" s="234"/>
      <c r="E274" s="234"/>
      <c r="F274" s="234"/>
      <c r="G274" s="234"/>
      <c r="H274" s="234"/>
      <c r="I274" s="234"/>
      <c r="J274" s="234"/>
      <c r="K274" s="234"/>
      <c r="M274" s="234"/>
      <c r="N274" s="234"/>
      <c r="O274" s="238"/>
      <c r="P274" s="234"/>
      <c r="Q274" s="234"/>
      <c r="R274" s="234"/>
      <c r="S274" s="234"/>
    </row>
    <row r="275">
      <c r="A275" s="234"/>
      <c r="B275" s="234"/>
      <c r="C275" s="236"/>
      <c r="D275" s="234"/>
      <c r="E275" s="234"/>
      <c r="F275" s="234"/>
      <c r="G275" s="234"/>
      <c r="H275" s="234"/>
      <c r="I275" s="234"/>
      <c r="J275" s="234"/>
      <c r="K275" s="234"/>
      <c r="M275" s="234"/>
      <c r="N275" s="234"/>
      <c r="O275" s="238"/>
      <c r="P275" s="234"/>
      <c r="Q275" s="234"/>
      <c r="R275" s="234"/>
      <c r="S275" s="234"/>
    </row>
    <row r="276">
      <c r="A276" s="234"/>
      <c r="B276" s="234"/>
      <c r="C276" s="236"/>
      <c r="D276" s="234"/>
      <c r="E276" s="234"/>
      <c r="F276" s="234"/>
      <c r="G276" s="234"/>
      <c r="H276" s="234"/>
      <c r="I276" s="234"/>
      <c r="J276" s="234"/>
      <c r="K276" s="234"/>
      <c r="M276" s="234"/>
      <c r="N276" s="234"/>
      <c r="O276" s="238"/>
      <c r="P276" s="234"/>
      <c r="Q276" s="234"/>
      <c r="R276" s="234"/>
      <c r="S276" s="234"/>
    </row>
    <row r="277">
      <c r="A277" s="234"/>
      <c r="B277" s="234"/>
      <c r="C277" s="236"/>
      <c r="D277" s="234"/>
      <c r="E277" s="234"/>
      <c r="F277" s="234"/>
      <c r="G277" s="234"/>
      <c r="H277" s="234"/>
      <c r="I277" s="234"/>
      <c r="J277" s="234"/>
      <c r="K277" s="234"/>
      <c r="M277" s="234"/>
      <c r="N277" s="234"/>
      <c r="O277" s="238"/>
      <c r="P277" s="234"/>
      <c r="Q277" s="234"/>
      <c r="R277" s="234"/>
      <c r="S277" s="234"/>
    </row>
    <row r="278">
      <c r="A278" s="234"/>
      <c r="B278" s="234"/>
      <c r="C278" s="236"/>
      <c r="D278" s="234"/>
      <c r="E278" s="234"/>
      <c r="F278" s="234"/>
      <c r="G278" s="234"/>
      <c r="H278" s="234"/>
      <c r="I278" s="234"/>
      <c r="J278" s="234"/>
      <c r="K278" s="234"/>
      <c r="M278" s="234"/>
      <c r="N278" s="234"/>
      <c r="O278" s="238"/>
      <c r="P278" s="234"/>
      <c r="Q278" s="234"/>
      <c r="R278" s="234"/>
      <c r="S278" s="234"/>
    </row>
    <row r="279">
      <c r="A279" s="234"/>
      <c r="B279" s="234"/>
      <c r="C279" s="236"/>
      <c r="D279" s="234"/>
      <c r="E279" s="234"/>
      <c r="F279" s="234"/>
      <c r="G279" s="234"/>
      <c r="H279" s="234"/>
      <c r="I279" s="234"/>
      <c r="J279" s="234"/>
      <c r="K279" s="234"/>
      <c r="M279" s="234"/>
      <c r="N279" s="234"/>
      <c r="O279" s="238"/>
      <c r="P279" s="234"/>
      <c r="Q279" s="234"/>
      <c r="R279" s="234"/>
      <c r="S279" s="234"/>
    </row>
    <row r="280">
      <c r="A280" s="234"/>
      <c r="B280" s="234"/>
      <c r="C280" s="236"/>
      <c r="D280" s="234"/>
      <c r="E280" s="234"/>
      <c r="F280" s="234"/>
      <c r="G280" s="234"/>
      <c r="H280" s="234"/>
      <c r="I280" s="234"/>
      <c r="J280" s="234"/>
      <c r="K280" s="234"/>
      <c r="M280" s="234"/>
      <c r="N280" s="234"/>
      <c r="O280" s="238"/>
      <c r="P280" s="234"/>
      <c r="Q280" s="234"/>
      <c r="R280" s="234"/>
      <c r="S280" s="234"/>
    </row>
    <row r="281">
      <c r="A281" s="234"/>
      <c r="B281" s="234"/>
      <c r="C281" s="236"/>
      <c r="D281" s="234"/>
      <c r="E281" s="234"/>
      <c r="F281" s="234"/>
      <c r="G281" s="234"/>
      <c r="H281" s="234"/>
      <c r="I281" s="234"/>
      <c r="J281" s="234"/>
      <c r="K281" s="234"/>
      <c r="M281" s="234"/>
      <c r="N281" s="234"/>
      <c r="O281" s="238"/>
      <c r="P281" s="234"/>
      <c r="Q281" s="234"/>
      <c r="R281" s="234"/>
      <c r="S281" s="234"/>
    </row>
    <row r="282">
      <c r="A282" s="234"/>
      <c r="B282" s="234"/>
      <c r="C282" s="236"/>
      <c r="D282" s="234"/>
      <c r="E282" s="234"/>
      <c r="F282" s="234"/>
      <c r="G282" s="234"/>
      <c r="H282" s="234"/>
      <c r="I282" s="234"/>
      <c r="J282" s="234"/>
      <c r="K282" s="234"/>
      <c r="M282" s="234"/>
      <c r="N282" s="234"/>
      <c r="O282" s="238"/>
      <c r="P282" s="234"/>
      <c r="Q282" s="234"/>
      <c r="R282" s="234"/>
      <c r="S282" s="234"/>
    </row>
    <row r="283">
      <c r="A283" s="234"/>
      <c r="B283" s="234"/>
      <c r="C283" s="236"/>
      <c r="D283" s="234"/>
      <c r="E283" s="234"/>
      <c r="F283" s="234"/>
      <c r="G283" s="234"/>
      <c r="H283" s="234"/>
      <c r="I283" s="234"/>
      <c r="J283" s="234"/>
      <c r="K283" s="234"/>
      <c r="M283" s="234"/>
      <c r="N283" s="234"/>
      <c r="O283" s="238"/>
      <c r="P283" s="234"/>
      <c r="Q283" s="234"/>
      <c r="R283" s="234"/>
      <c r="S283" s="234"/>
    </row>
    <row r="284">
      <c r="A284" s="234"/>
      <c r="B284" s="234"/>
      <c r="C284" s="236"/>
      <c r="D284" s="234"/>
      <c r="E284" s="234"/>
      <c r="F284" s="234"/>
      <c r="G284" s="234"/>
      <c r="H284" s="234"/>
      <c r="I284" s="234"/>
      <c r="J284" s="234"/>
      <c r="K284" s="234"/>
      <c r="M284" s="234"/>
      <c r="N284" s="234"/>
      <c r="O284" s="238"/>
      <c r="P284" s="234"/>
      <c r="Q284" s="234"/>
      <c r="R284" s="234"/>
      <c r="S284" s="234"/>
    </row>
    <row r="285">
      <c r="A285" s="234"/>
      <c r="B285" s="234"/>
      <c r="C285" s="236"/>
      <c r="D285" s="234"/>
      <c r="E285" s="234"/>
      <c r="F285" s="234"/>
      <c r="G285" s="234"/>
      <c r="H285" s="234"/>
      <c r="I285" s="234"/>
      <c r="J285" s="234"/>
      <c r="K285" s="234"/>
      <c r="M285" s="234"/>
      <c r="N285" s="234"/>
      <c r="O285" s="238"/>
      <c r="P285" s="234"/>
      <c r="Q285" s="234"/>
      <c r="R285" s="234"/>
      <c r="S285" s="234"/>
    </row>
    <row r="286">
      <c r="A286" s="234"/>
      <c r="B286" s="234"/>
      <c r="C286" s="236"/>
      <c r="D286" s="234"/>
      <c r="E286" s="234"/>
      <c r="F286" s="234"/>
      <c r="G286" s="234"/>
      <c r="H286" s="234"/>
      <c r="I286" s="234"/>
      <c r="J286" s="234"/>
      <c r="K286" s="234"/>
      <c r="M286" s="234"/>
      <c r="N286" s="234"/>
      <c r="O286" s="238"/>
      <c r="P286" s="234"/>
      <c r="Q286" s="234"/>
      <c r="R286" s="234"/>
      <c r="S286" s="234"/>
    </row>
    <row r="287">
      <c r="A287" s="234"/>
      <c r="B287" s="234"/>
      <c r="C287" s="236"/>
      <c r="D287" s="234"/>
      <c r="E287" s="234"/>
      <c r="F287" s="234"/>
      <c r="G287" s="234"/>
      <c r="H287" s="234"/>
      <c r="I287" s="234"/>
      <c r="J287" s="234"/>
      <c r="K287" s="234"/>
      <c r="M287" s="234"/>
      <c r="N287" s="234"/>
      <c r="O287" s="238"/>
      <c r="P287" s="234"/>
      <c r="Q287" s="234"/>
      <c r="R287" s="234"/>
      <c r="S287" s="234"/>
    </row>
    <row r="288">
      <c r="A288" s="234"/>
      <c r="B288" s="234"/>
      <c r="C288" s="236"/>
      <c r="D288" s="234"/>
      <c r="E288" s="234"/>
      <c r="F288" s="234"/>
      <c r="G288" s="234"/>
      <c r="H288" s="234"/>
      <c r="I288" s="234"/>
      <c r="J288" s="234"/>
      <c r="K288" s="234"/>
      <c r="M288" s="234"/>
      <c r="N288" s="234"/>
      <c r="O288" s="238"/>
      <c r="P288" s="234"/>
      <c r="Q288" s="234"/>
      <c r="R288" s="234"/>
      <c r="S288" s="234"/>
    </row>
    <row r="289">
      <c r="A289" s="234"/>
      <c r="B289" s="234"/>
      <c r="C289" s="236"/>
      <c r="D289" s="234"/>
      <c r="E289" s="234"/>
      <c r="F289" s="234"/>
      <c r="G289" s="234"/>
      <c r="H289" s="234"/>
      <c r="I289" s="234"/>
      <c r="J289" s="234"/>
      <c r="K289" s="234"/>
      <c r="M289" s="234"/>
      <c r="N289" s="234"/>
      <c r="O289" s="238"/>
      <c r="P289" s="234"/>
      <c r="Q289" s="234"/>
      <c r="R289" s="234"/>
      <c r="S289" s="234"/>
    </row>
    <row r="290">
      <c r="A290" s="234"/>
      <c r="B290" s="234"/>
      <c r="C290" s="236"/>
      <c r="D290" s="234"/>
      <c r="E290" s="234"/>
      <c r="F290" s="234"/>
      <c r="G290" s="234"/>
      <c r="H290" s="234"/>
      <c r="I290" s="234"/>
      <c r="J290" s="234"/>
      <c r="K290" s="234"/>
      <c r="M290" s="234"/>
      <c r="N290" s="234"/>
      <c r="O290" s="238"/>
      <c r="P290" s="234"/>
      <c r="Q290" s="234"/>
      <c r="R290" s="234"/>
      <c r="S290" s="234"/>
    </row>
    <row r="291">
      <c r="A291" s="234"/>
      <c r="B291" s="234"/>
      <c r="C291" s="236"/>
      <c r="D291" s="234"/>
      <c r="E291" s="234"/>
      <c r="F291" s="234"/>
      <c r="G291" s="234"/>
      <c r="H291" s="234"/>
      <c r="I291" s="234"/>
      <c r="J291" s="234"/>
      <c r="K291" s="234"/>
      <c r="M291" s="234"/>
      <c r="N291" s="234"/>
      <c r="O291" s="238"/>
      <c r="P291" s="234"/>
      <c r="Q291" s="234"/>
      <c r="R291" s="234"/>
      <c r="S291" s="234"/>
    </row>
    <row r="292">
      <c r="A292" s="234"/>
      <c r="B292" s="234"/>
      <c r="C292" s="236"/>
      <c r="D292" s="234"/>
      <c r="E292" s="234"/>
      <c r="F292" s="234"/>
      <c r="G292" s="234"/>
      <c r="H292" s="234"/>
      <c r="I292" s="234"/>
      <c r="J292" s="234"/>
      <c r="K292" s="234"/>
      <c r="M292" s="234"/>
      <c r="N292" s="234"/>
      <c r="O292" s="238"/>
      <c r="P292" s="234"/>
      <c r="Q292" s="234"/>
      <c r="R292" s="234"/>
      <c r="S292" s="234"/>
    </row>
    <row r="293">
      <c r="A293" s="234"/>
      <c r="B293" s="234"/>
      <c r="C293" s="236"/>
      <c r="D293" s="234"/>
      <c r="E293" s="234"/>
      <c r="F293" s="234"/>
      <c r="G293" s="234"/>
      <c r="H293" s="234"/>
      <c r="I293" s="234"/>
      <c r="J293" s="234"/>
      <c r="K293" s="234"/>
      <c r="M293" s="234"/>
      <c r="N293" s="234"/>
      <c r="O293" s="238"/>
      <c r="P293" s="234"/>
      <c r="Q293" s="234"/>
      <c r="R293" s="234"/>
      <c r="S293" s="234"/>
    </row>
    <row r="294">
      <c r="A294" s="234"/>
      <c r="B294" s="234"/>
      <c r="C294" s="236"/>
      <c r="D294" s="234"/>
      <c r="E294" s="234"/>
      <c r="F294" s="234"/>
      <c r="G294" s="234"/>
      <c r="H294" s="234"/>
      <c r="I294" s="234"/>
      <c r="J294" s="234"/>
      <c r="K294" s="234"/>
      <c r="M294" s="234"/>
      <c r="N294" s="234"/>
      <c r="O294" s="238"/>
      <c r="P294" s="234"/>
      <c r="Q294" s="234"/>
      <c r="R294" s="234"/>
      <c r="S294" s="234"/>
    </row>
    <row r="295">
      <c r="A295" s="234"/>
      <c r="B295" s="234"/>
      <c r="C295" s="236"/>
      <c r="D295" s="234"/>
      <c r="E295" s="234"/>
      <c r="F295" s="234"/>
      <c r="G295" s="234"/>
      <c r="H295" s="234"/>
      <c r="I295" s="234"/>
      <c r="J295" s="234"/>
      <c r="K295" s="234"/>
      <c r="M295" s="234"/>
      <c r="N295" s="234"/>
      <c r="O295" s="238"/>
      <c r="P295" s="234"/>
      <c r="Q295" s="234"/>
      <c r="R295" s="234"/>
      <c r="S295" s="234"/>
    </row>
    <row r="296">
      <c r="A296" s="234"/>
      <c r="B296" s="234"/>
      <c r="C296" s="236"/>
      <c r="D296" s="234"/>
      <c r="E296" s="234"/>
      <c r="F296" s="234"/>
      <c r="G296" s="234"/>
      <c r="H296" s="234"/>
      <c r="I296" s="234"/>
      <c r="J296" s="234"/>
      <c r="K296" s="234"/>
      <c r="M296" s="234"/>
      <c r="N296" s="234"/>
      <c r="O296" s="238"/>
      <c r="P296" s="234"/>
      <c r="Q296" s="234"/>
      <c r="R296" s="234"/>
      <c r="S296" s="234"/>
    </row>
    <row r="297">
      <c r="A297" s="234"/>
      <c r="B297" s="234"/>
      <c r="C297" s="236"/>
      <c r="D297" s="234"/>
      <c r="E297" s="234"/>
      <c r="F297" s="234"/>
      <c r="G297" s="234"/>
      <c r="H297" s="234"/>
      <c r="I297" s="234"/>
      <c r="J297" s="234"/>
      <c r="K297" s="234"/>
      <c r="M297" s="234"/>
      <c r="N297" s="234"/>
      <c r="O297" s="238"/>
      <c r="P297" s="234"/>
      <c r="Q297" s="234"/>
      <c r="R297" s="234"/>
      <c r="S297" s="234"/>
    </row>
    <row r="298">
      <c r="A298" s="234"/>
      <c r="B298" s="234"/>
      <c r="C298" s="236"/>
      <c r="D298" s="234"/>
      <c r="E298" s="234"/>
      <c r="F298" s="234"/>
      <c r="G298" s="234"/>
      <c r="H298" s="234"/>
      <c r="I298" s="234"/>
      <c r="J298" s="234"/>
      <c r="K298" s="234"/>
      <c r="M298" s="234"/>
      <c r="N298" s="234"/>
      <c r="O298" s="238"/>
      <c r="P298" s="234"/>
      <c r="Q298" s="234"/>
      <c r="R298" s="234"/>
      <c r="S298" s="234"/>
    </row>
    <row r="299">
      <c r="A299" s="234"/>
      <c r="B299" s="234"/>
      <c r="C299" s="236"/>
      <c r="D299" s="234"/>
      <c r="E299" s="234"/>
      <c r="F299" s="234"/>
      <c r="G299" s="234"/>
      <c r="H299" s="234"/>
      <c r="I299" s="234"/>
      <c r="J299" s="234"/>
      <c r="K299" s="234"/>
      <c r="M299" s="234"/>
      <c r="N299" s="234"/>
      <c r="O299" s="238"/>
      <c r="P299" s="234"/>
      <c r="Q299" s="234"/>
      <c r="R299" s="234"/>
      <c r="S299" s="234"/>
    </row>
    <row r="300">
      <c r="A300" s="234"/>
      <c r="B300" s="234"/>
      <c r="C300" s="236"/>
      <c r="D300" s="234"/>
      <c r="E300" s="234"/>
      <c r="F300" s="234"/>
      <c r="G300" s="234"/>
      <c r="H300" s="234"/>
      <c r="I300" s="234"/>
      <c r="J300" s="234"/>
      <c r="K300" s="234"/>
      <c r="M300" s="234"/>
      <c r="N300" s="234"/>
      <c r="O300" s="238"/>
      <c r="P300" s="234"/>
      <c r="Q300" s="234"/>
      <c r="R300" s="234"/>
      <c r="S300" s="234"/>
    </row>
    <row r="301">
      <c r="A301" s="234"/>
      <c r="B301" s="234"/>
      <c r="C301" s="236"/>
      <c r="D301" s="234"/>
      <c r="E301" s="234"/>
      <c r="F301" s="234"/>
      <c r="G301" s="234"/>
      <c r="H301" s="234"/>
      <c r="I301" s="234"/>
      <c r="J301" s="234"/>
      <c r="K301" s="234"/>
      <c r="M301" s="234"/>
      <c r="N301" s="234"/>
      <c r="O301" s="238"/>
      <c r="P301" s="234"/>
      <c r="Q301" s="234"/>
      <c r="R301" s="234"/>
      <c r="S301" s="234"/>
    </row>
    <row r="302">
      <c r="A302" s="234"/>
      <c r="B302" s="234"/>
      <c r="C302" s="236"/>
      <c r="D302" s="234"/>
      <c r="E302" s="234"/>
      <c r="F302" s="234"/>
      <c r="G302" s="234"/>
      <c r="H302" s="234"/>
      <c r="I302" s="234"/>
      <c r="J302" s="234"/>
      <c r="K302" s="234"/>
      <c r="M302" s="234"/>
      <c r="N302" s="234"/>
      <c r="O302" s="238"/>
      <c r="P302" s="234"/>
      <c r="Q302" s="234"/>
      <c r="R302" s="234"/>
      <c r="S302" s="234"/>
    </row>
    <row r="303">
      <c r="A303" s="234"/>
      <c r="B303" s="234"/>
      <c r="C303" s="236"/>
      <c r="D303" s="234"/>
      <c r="E303" s="234"/>
      <c r="F303" s="234"/>
      <c r="G303" s="234"/>
      <c r="H303" s="234"/>
      <c r="I303" s="234"/>
      <c r="J303" s="234"/>
      <c r="K303" s="234"/>
      <c r="M303" s="234"/>
      <c r="N303" s="234"/>
      <c r="O303" s="238"/>
      <c r="P303" s="234"/>
      <c r="Q303" s="234"/>
      <c r="R303" s="234"/>
      <c r="S303" s="234"/>
    </row>
    <row r="304">
      <c r="A304" s="234"/>
      <c r="B304" s="234"/>
      <c r="C304" s="236"/>
      <c r="D304" s="234"/>
      <c r="E304" s="234"/>
      <c r="F304" s="234"/>
      <c r="G304" s="234"/>
      <c r="H304" s="234"/>
      <c r="I304" s="234"/>
      <c r="J304" s="234"/>
      <c r="K304" s="234"/>
      <c r="M304" s="234"/>
      <c r="N304" s="234"/>
      <c r="O304" s="238"/>
      <c r="P304" s="234"/>
      <c r="Q304" s="234"/>
      <c r="R304" s="234"/>
      <c r="S304" s="234"/>
    </row>
    <row r="305">
      <c r="A305" s="234"/>
      <c r="B305" s="234"/>
      <c r="C305" s="236"/>
      <c r="D305" s="234"/>
      <c r="E305" s="234"/>
      <c r="F305" s="234"/>
      <c r="G305" s="234"/>
      <c r="H305" s="234"/>
      <c r="I305" s="234"/>
      <c r="J305" s="234"/>
      <c r="K305" s="234"/>
      <c r="M305" s="234"/>
      <c r="N305" s="234"/>
      <c r="O305" s="238"/>
      <c r="P305" s="234"/>
      <c r="Q305" s="234"/>
      <c r="R305" s="234"/>
      <c r="S305" s="234"/>
    </row>
    <row r="306">
      <c r="A306" s="234"/>
      <c r="B306" s="234"/>
      <c r="C306" s="236"/>
      <c r="D306" s="234"/>
      <c r="E306" s="234"/>
      <c r="F306" s="234"/>
      <c r="G306" s="234"/>
      <c r="H306" s="234"/>
      <c r="I306" s="234"/>
      <c r="J306" s="234"/>
      <c r="K306" s="234"/>
      <c r="M306" s="234"/>
      <c r="N306" s="234"/>
      <c r="O306" s="238"/>
      <c r="P306" s="234"/>
      <c r="Q306" s="234"/>
      <c r="R306" s="234"/>
      <c r="S306" s="234"/>
    </row>
    <row r="307">
      <c r="A307" s="234"/>
      <c r="B307" s="234"/>
      <c r="C307" s="236"/>
      <c r="D307" s="234"/>
      <c r="E307" s="234"/>
      <c r="F307" s="234"/>
      <c r="G307" s="234"/>
      <c r="H307" s="234"/>
      <c r="I307" s="234"/>
      <c r="J307" s="234"/>
      <c r="K307" s="234"/>
      <c r="M307" s="234"/>
      <c r="N307" s="234"/>
      <c r="O307" s="238"/>
      <c r="P307" s="234"/>
      <c r="Q307" s="234"/>
      <c r="R307" s="234"/>
      <c r="S307" s="234"/>
    </row>
    <row r="308">
      <c r="A308" s="234"/>
      <c r="B308" s="234"/>
      <c r="C308" s="236"/>
      <c r="D308" s="234"/>
      <c r="E308" s="234"/>
      <c r="F308" s="234"/>
      <c r="G308" s="234"/>
      <c r="H308" s="234"/>
      <c r="I308" s="234"/>
      <c r="J308" s="234"/>
      <c r="K308" s="234"/>
      <c r="M308" s="234"/>
      <c r="N308" s="234"/>
      <c r="O308" s="238"/>
      <c r="P308" s="234"/>
      <c r="Q308" s="234"/>
      <c r="R308" s="234"/>
      <c r="S308" s="234"/>
    </row>
    <row r="309">
      <c r="A309" s="234"/>
      <c r="B309" s="234"/>
      <c r="C309" s="236"/>
      <c r="D309" s="234"/>
      <c r="E309" s="234"/>
      <c r="F309" s="234"/>
      <c r="G309" s="234"/>
      <c r="H309" s="234"/>
      <c r="I309" s="234"/>
      <c r="J309" s="234"/>
      <c r="K309" s="234"/>
      <c r="M309" s="234"/>
      <c r="N309" s="234"/>
      <c r="O309" s="238"/>
      <c r="P309" s="234"/>
      <c r="Q309" s="234"/>
      <c r="R309" s="234"/>
      <c r="S309" s="234"/>
    </row>
    <row r="310">
      <c r="A310" s="234"/>
      <c r="B310" s="234"/>
      <c r="C310" s="236"/>
      <c r="D310" s="234"/>
      <c r="E310" s="234"/>
      <c r="F310" s="234"/>
      <c r="G310" s="234"/>
      <c r="H310" s="234"/>
      <c r="I310" s="234"/>
      <c r="J310" s="234"/>
      <c r="K310" s="234"/>
      <c r="M310" s="234"/>
      <c r="N310" s="234"/>
      <c r="O310" s="238"/>
      <c r="P310" s="234"/>
      <c r="Q310" s="234"/>
      <c r="R310" s="234"/>
      <c r="S310" s="234"/>
    </row>
    <row r="311">
      <c r="A311" s="234"/>
      <c r="B311" s="234"/>
      <c r="C311" s="236"/>
      <c r="D311" s="234"/>
      <c r="E311" s="234"/>
      <c r="F311" s="234"/>
      <c r="G311" s="234"/>
      <c r="H311" s="234"/>
      <c r="I311" s="234"/>
      <c r="J311" s="234"/>
      <c r="K311" s="234"/>
      <c r="M311" s="234"/>
      <c r="N311" s="234"/>
      <c r="O311" s="238"/>
      <c r="P311" s="234"/>
      <c r="Q311" s="234"/>
      <c r="R311" s="234"/>
      <c r="S311" s="234"/>
    </row>
    <row r="312">
      <c r="A312" s="234"/>
      <c r="B312" s="234"/>
      <c r="C312" s="236"/>
      <c r="D312" s="234"/>
      <c r="E312" s="234"/>
      <c r="F312" s="234"/>
      <c r="G312" s="234"/>
      <c r="H312" s="234"/>
      <c r="I312" s="234"/>
      <c r="J312" s="234"/>
      <c r="K312" s="234"/>
      <c r="M312" s="234"/>
      <c r="N312" s="234"/>
      <c r="O312" s="238"/>
      <c r="P312" s="234"/>
      <c r="Q312" s="234"/>
      <c r="R312" s="234"/>
      <c r="S312" s="234"/>
    </row>
    <row r="313">
      <c r="A313" s="234"/>
      <c r="B313" s="234"/>
      <c r="C313" s="236"/>
      <c r="D313" s="234"/>
      <c r="E313" s="234"/>
      <c r="F313" s="234"/>
      <c r="G313" s="234"/>
      <c r="H313" s="234"/>
      <c r="I313" s="234"/>
      <c r="J313" s="234"/>
      <c r="K313" s="234"/>
      <c r="M313" s="234"/>
      <c r="N313" s="234"/>
      <c r="O313" s="238"/>
      <c r="P313" s="234"/>
      <c r="Q313" s="234"/>
      <c r="R313" s="234"/>
      <c r="S313" s="234"/>
    </row>
    <row r="314">
      <c r="A314" s="234"/>
      <c r="B314" s="234"/>
      <c r="C314" s="236"/>
      <c r="D314" s="234"/>
      <c r="E314" s="234"/>
      <c r="F314" s="234"/>
      <c r="G314" s="234"/>
      <c r="H314" s="234"/>
      <c r="I314" s="234"/>
      <c r="J314" s="234"/>
      <c r="K314" s="234"/>
      <c r="M314" s="234"/>
      <c r="N314" s="234"/>
      <c r="O314" s="238"/>
      <c r="P314" s="234"/>
      <c r="Q314" s="234"/>
      <c r="R314" s="234"/>
      <c r="S314" s="234"/>
    </row>
    <row r="315">
      <c r="A315" s="234"/>
      <c r="B315" s="234"/>
      <c r="C315" s="236"/>
      <c r="D315" s="234"/>
      <c r="E315" s="234"/>
      <c r="F315" s="234"/>
      <c r="G315" s="234"/>
      <c r="H315" s="234"/>
      <c r="I315" s="234"/>
      <c r="J315" s="234"/>
      <c r="K315" s="234"/>
      <c r="M315" s="234"/>
      <c r="N315" s="234"/>
      <c r="O315" s="238"/>
      <c r="P315" s="234"/>
      <c r="Q315" s="234"/>
      <c r="R315" s="234"/>
      <c r="S315" s="234"/>
    </row>
    <row r="316">
      <c r="A316" s="234"/>
      <c r="B316" s="234"/>
      <c r="C316" s="236"/>
      <c r="D316" s="234"/>
      <c r="E316" s="234"/>
      <c r="F316" s="234"/>
      <c r="G316" s="234"/>
      <c r="H316" s="234"/>
      <c r="I316" s="234"/>
      <c r="J316" s="234"/>
      <c r="K316" s="234"/>
      <c r="M316" s="234"/>
      <c r="N316" s="234"/>
      <c r="O316" s="238"/>
      <c r="P316" s="234"/>
      <c r="Q316" s="234"/>
      <c r="R316" s="234"/>
      <c r="S316" s="234"/>
    </row>
    <row r="317">
      <c r="A317" s="234"/>
      <c r="B317" s="234"/>
      <c r="C317" s="236"/>
      <c r="D317" s="234"/>
      <c r="E317" s="234"/>
      <c r="F317" s="234"/>
      <c r="G317" s="234"/>
      <c r="H317" s="234"/>
      <c r="I317" s="234"/>
      <c r="J317" s="234"/>
      <c r="K317" s="234"/>
      <c r="M317" s="234"/>
      <c r="N317" s="234"/>
      <c r="O317" s="238"/>
      <c r="P317" s="234"/>
      <c r="Q317" s="234"/>
      <c r="R317" s="234"/>
      <c r="S317" s="234"/>
    </row>
    <row r="318">
      <c r="A318" s="234"/>
      <c r="B318" s="234"/>
      <c r="C318" s="236"/>
      <c r="D318" s="234"/>
      <c r="E318" s="234"/>
      <c r="F318" s="234"/>
      <c r="G318" s="234"/>
      <c r="H318" s="234"/>
      <c r="I318" s="234"/>
      <c r="J318" s="234"/>
      <c r="K318" s="234"/>
      <c r="M318" s="234"/>
      <c r="N318" s="234"/>
      <c r="O318" s="238"/>
      <c r="P318" s="234"/>
      <c r="Q318" s="234"/>
      <c r="R318" s="234"/>
      <c r="S318" s="234"/>
    </row>
    <row r="319">
      <c r="A319" s="234"/>
      <c r="B319" s="234"/>
      <c r="C319" s="236"/>
      <c r="D319" s="234"/>
      <c r="E319" s="234"/>
      <c r="F319" s="234"/>
      <c r="G319" s="234"/>
      <c r="H319" s="234"/>
      <c r="I319" s="234"/>
      <c r="J319" s="234"/>
      <c r="K319" s="234"/>
      <c r="M319" s="234"/>
      <c r="N319" s="234"/>
      <c r="O319" s="238"/>
      <c r="P319" s="234"/>
      <c r="Q319" s="234"/>
      <c r="R319" s="234"/>
      <c r="S319" s="234"/>
    </row>
    <row r="320">
      <c r="A320" s="234"/>
      <c r="B320" s="234"/>
      <c r="C320" s="236"/>
      <c r="D320" s="234"/>
      <c r="E320" s="234"/>
      <c r="F320" s="234"/>
      <c r="G320" s="234"/>
      <c r="H320" s="234"/>
      <c r="I320" s="234"/>
      <c r="J320" s="234"/>
      <c r="K320" s="234"/>
      <c r="M320" s="234"/>
      <c r="N320" s="234"/>
      <c r="O320" s="238"/>
      <c r="P320" s="234"/>
      <c r="Q320" s="234"/>
      <c r="R320" s="234"/>
      <c r="S320" s="234"/>
    </row>
    <row r="321">
      <c r="A321" s="234"/>
      <c r="B321" s="234"/>
      <c r="C321" s="236"/>
      <c r="D321" s="234"/>
      <c r="E321" s="234"/>
      <c r="F321" s="234"/>
      <c r="G321" s="234"/>
      <c r="H321" s="234"/>
      <c r="I321" s="234"/>
      <c r="J321" s="234"/>
      <c r="K321" s="234"/>
      <c r="M321" s="234"/>
      <c r="N321" s="234"/>
      <c r="O321" s="238"/>
      <c r="P321" s="234"/>
      <c r="Q321" s="234"/>
      <c r="R321" s="234"/>
      <c r="S321" s="234"/>
    </row>
    <row r="322">
      <c r="A322" s="234"/>
      <c r="B322" s="234"/>
      <c r="C322" s="236"/>
      <c r="D322" s="234"/>
      <c r="E322" s="234"/>
      <c r="F322" s="234"/>
      <c r="G322" s="234"/>
      <c r="H322" s="234"/>
      <c r="I322" s="234"/>
      <c r="J322" s="234"/>
      <c r="K322" s="234"/>
      <c r="M322" s="234"/>
      <c r="N322" s="234"/>
      <c r="O322" s="238"/>
      <c r="P322" s="234"/>
      <c r="Q322" s="234"/>
      <c r="R322" s="234"/>
      <c r="S322" s="234"/>
    </row>
    <row r="323">
      <c r="A323" s="234"/>
      <c r="B323" s="234"/>
      <c r="C323" s="236"/>
      <c r="D323" s="234"/>
      <c r="E323" s="234"/>
      <c r="F323" s="234"/>
      <c r="G323" s="234"/>
      <c r="H323" s="234"/>
      <c r="I323" s="234"/>
      <c r="J323" s="234"/>
      <c r="K323" s="234"/>
      <c r="M323" s="234"/>
      <c r="N323" s="234"/>
      <c r="O323" s="238"/>
      <c r="P323" s="234"/>
      <c r="Q323" s="234"/>
      <c r="R323" s="234"/>
      <c r="S323" s="234"/>
    </row>
    <row r="324">
      <c r="A324" s="234"/>
      <c r="B324" s="234"/>
      <c r="C324" s="236"/>
      <c r="D324" s="234"/>
      <c r="E324" s="234"/>
      <c r="F324" s="234"/>
      <c r="G324" s="234"/>
      <c r="H324" s="234"/>
      <c r="I324" s="234"/>
      <c r="J324" s="234"/>
      <c r="K324" s="234"/>
      <c r="M324" s="234"/>
      <c r="N324" s="234"/>
      <c r="O324" s="238"/>
      <c r="P324" s="234"/>
      <c r="Q324" s="234"/>
      <c r="R324" s="234"/>
      <c r="S324" s="234"/>
    </row>
    <row r="325">
      <c r="A325" s="234"/>
      <c r="B325" s="234"/>
      <c r="C325" s="236"/>
      <c r="D325" s="234"/>
      <c r="E325" s="234"/>
      <c r="F325" s="234"/>
      <c r="G325" s="234"/>
      <c r="H325" s="234"/>
      <c r="I325" s="234"/>
      <c r="J325" s="234"/>
      <c r="K325" s="234"/>
      <c r="M325" s="234"/>
      <c r="N325" s="234"/>
      <c r="O325" s="238"/>
      <c r="P325" s="234"/>
      <c r="Q325" s="234"/>
      <c r="R325" s="234"/>
      <c r="S325" s="234"/>
    </row>
    <row r="326">
      <c r="A326" s="234"/>
      <c r="B326" s="234"/>
      <c r="C326" s="236"/>
      <c r="D326" s="234"/>
      <c r="E326" s="234"/>
      <c r="F326" s="234"/>
      <c r="G326" s="234"/>
      <c r="H326" s="234"/>
      <c r="I326" s="234"/>
      <c r="J326" s="234"/>
      <c r="K326" s="234"/>
      <c r="M326" s="234"/>
      <c r="N326" s="234"/>
      <c r="O326" s="238"/>
      <c r="P326" s="234"/>
      <c r="Q326" s="234"/>
      <c r="R326" s="234"/>
      <c r="S326" s="234"/>
    </row>
    <row r="327">
      <c r="A327" s="234"/>
      <c r="B327" s="234"/>
      <c r="C327" s="236"/>
      <c r="D327" s="234"/>
      <c r="E327" s="234"/>
      <c r="F327" s="234"/>
      <c r="G327" s="234"/>
      <c r="H327" s="234"/>
      <c r="I327" s="234"/>
      <c r="J327" s="234"/>
      <c r="K327" s="234"/>
      <c r="M327" s="234"/>
      <c r="N327" s="234"/>
      <c r="O327" s="238"/>
      <c r="P327" s="234"/>
      <c r="Q327" s="234"/>
      <c r="R327" s="234"/>
      <c r="S327" s="234"/>
    </row>
    <row r="328">
      <c r="A328" s="234"/>
      <c r="B328" s="234"/>
      <c r="C328" s="236"/>
      <c r="D328" s="234"/>
      <c r="E328" s="234"/>
      <c r="F328" s="234"/>
      <c r="G328" s="234"/>
      <c r="H328" s="234"/>
      <c r="I328" s="234"/>
      <c r="J328" s="234"/>
      <c r="K328" s="234"/>
      <c r="M328" s="234"/>
      <c r="N328" s="234"/>
      <c r="O328" s="238"/>
      <c r="P328" s="234"/>
      <c r="Q328" s="234"/>
      <c r="R328" s="234"/>
      <c r="S328" s="234"/>
    </row>
    <row r="329">
      <c r="A329" s="234"/>
      <c r="B329" s="234"/>
      <c r="C329" s="236"/>
      <c r="D329" s="234"/>
      <c r="E329" s="234"/>
      <c r="F329" s="234"/>
      <c r="G329" s="234"/>
      <c r="H329" s="234"/>
      <c r="I329" s="234"/>
      <c r="J329" s="234"/>
      <c r="K329" s="234"/>
      <c r="M329" s="234"/>
      <c r="N329" s="234"/>
      <c r="O329" s="238"/>
      <c r="P329" s="234"/>
      <c r="Q329" s="234"/>
      <c r="R329" s="234"/>
      <c r="S329" s="234"/>
    </row>
    <row r="330">
      <c r="A330" s="234"/>
      <c r="B330" s="234"/>
      <c r="C330" s="236"/>
      <c r="D330" s="234"/>
      <c r="E330" s="234"/>
      <c r="F330" s="234"/>
      <c r="G330" s="234"/>
      <c r="H330" s="234"/>
      <c r="I330" s="234"/>
      <c r="J330" s="234"/>
      <c r="K330" s="234"/>
      <c r="M330" s="234"/>
      <c r="N330" s="234"/>
      <c r="O330" s="238"/>
      <c r="P330" s="234"/>
      <c r="Q330" s="234"/>
      <c r="R330" s="234"/>
      <c r="S330" s="234"/>
    </row>
    <row r="331">
      <c r="A331" s="234"/>
      <c r="B331" s="234"/>
      <c r="C331" s="236"/>
      <c r="D331" s="234"/>
      <c r="E331" s="234"/>
      <c r="F331" s="234"/>
      <c r="G331" s="234"/>
      <c r="H331" s="234"/>
      <c r="I331" s="234"/>
      <c r="J331" s="234"/>
      <c r="K331" s="234"/>
      <c r="M331" s="234"/>
      <c r="N331" s="234"/>
      <c r="O331" s="238"/>
      <c r="P331" s="234"/>
      <c r="Q331" s="234"/>
      <c r="R331" s="234"/>
      <c r="S331" s="234"/>
    </row>
    <row r="332">
      <c r="A332" s="234"/>
      <c r="B332" s="234"/>
      <c r="C332" s="236"/>
      <c r="D332" s="234"/>
      <c r="E332" s="234"/>
      <c r="F332" s="234"/>
      <c r="G332" s="234"/>
      <c r="H332" s="234"/>
      <c r="I332" s="234"/>
      <c r="J332" s="234"/>
      <c r="K332" s="234"/>
      <c r="M332" s="234"/>
      <c r="N332" s="234"/>
      <c r="O332" s="238"/>
      <c r="P332" s="234"/>
      <c r="Q332" s="234"/>
      <c r="R332" s="234"/>
      <c r="S332" s="234"/>
    </row>
    <row r="333">
      <c r="A333" s="234"/>
      <c r="B333" s="234"/>
      <c r="C333" s="236"/>
      <c r="D333" s="234"/>
      <c r="E333" s="234"/>
      <c r="F333" s="234"/>
      <c r="G333" s="234"/>
      <c r="H333" s="234"/>
      <c r="I333" s="234"/>
      <c r="J333" s="234"/>
      <c r="K333" s="234"/>
      <c r="M333" s="234"/>
      <c r="N333" s="234"/>
      <c r="O333" s="238"/>
      <c r="P333" s="234"/>
      <c r="Q333" s="234"/>
      <c r="R333" s="234"/>
      <c r="S333" s="234"/>
    </row>
    <row r="334">
      <c r="A334" s="234"/>
      <c r="B334" s="234"/>
      <c r="C334" s="236"/>
      <c r="D334" s="234"/>
      <c r="E334" s="234"/>
      <c r="F334" s="234"/>
      <c r="G334" s="234"/>
      <c r="H334" s="234"/>
      <c r="I334" s="234"/>
      <c r="J334" s="234"/>
      <c r="K334" s="234"/>
      <c r="M334" s="234"/>
      <c r="N334" s="234"/>
      <c r="O334" s="238"/>
      <c r="P334" s="234"/>
      <c r="Q334" s="234"/>
      <c r="R334" s="234"/>
      <c r="S334" s="234"/>
    </row>
    <row r="335">
      <c r="A335" s="234"/>
      <c r="B335" s="234"/>
      <c r="C335" s="236"/>
      <c r="D335" s="234"/>
      <c r="E335" s="234"/>
      <c r="F335" s="234"/>
      <c r="G335" s="234"/>
      <c r="H335" s="234"/>
      <c r="I335" s="234"/>
      <c r="J335" s="234"/>
      <c r="K335" s="234"/>
      <c r="M335" s="234"/>
      <c r="N335" s="234"/>
      <c r="O335" s="238"/>
      <c r="P335" s="234"/>
      <c r="Q335" s="234"/>
      <c r="R335" s="234"/>
      <c r="S335" s="234"/>
    </row>
    <row r="336">
      <c r="A336" s="234"/>
      <c r="B336" s="234"/>
      <c r="C336" s="236"/>
      <c r="D336" s="234"/>
      <c r="E336" s="234"/>
      <c r="F336" s="234"/>
      <c r="G336" s="234"/>
      <c r="H336" s="234"/>
      <c r="I336" s="234"/>
      <c r="J336" s="234"/>
      <c r="K336" s="234"/>
      <c r="M336" s="234"/>
      <c r="N336" s="234"/>
      <c r="O336" s="238"/>
      <c r="P336" s="234"/>
      <c r="Q336" s="234"/>
      <c r="R336" s="234"/>
      <c r="S336" s="234"/>
    </row>
    <row r="337">
      <c r="A337" s="234"/>
      <c r="B337" s="234"/>
      <c r="C337" s="236"/>
      <c r="D337" s="234"/>
      <c r="E337" s="234"/>
      <c r="F337" s="234"/>
      <c r="G337" s="234"/>
      <c r="H337" s="234"/>
      <c r="I337" s="234"/>
      <c r="J337" s="234"/>
      <c r="K337" s="234"/>
      <c r="M337" s="234"/>
      <c r="N337" s="234"/>
      <c r="O337" s="238"/>
      <c r="P337" s="234"/>
      <c r="Q337" s="234"/>
      <c r="R337" s="234"/>
      <c r="S337" s="234"/>
    </row>
    <row r="338">
      <c r="A338" s="234"/>
      <c r="B338" s="234"/>
      <c r="C338" s="236"/>
      <c r="D338" s="234"/>
      <c r="E338" s="234"/>
      <c r="F338" s="234"/>
      <c r="G338" s="234"/>
      <c r="H338" s="234"/>
      <c r="I338" s="234"/>
      <c r="J338" s="234"/>
      <c r="K338" s="234"/>
      <c r="M338" s="234"/>
      <c r="N338" s="234"/>
      <c r="O338" s="238"/>
      <c r="P338" s="234"/>
      <c r="Q338" s="234"/>
      <c r="R338" s="234"/>
      <c r="S338" s="234"/>
    </row>
    <row r="339">
      <c r="A339" s="234"/>
      <c r="B339" s="234"/>
      <c r="C339" s="236"/>
      <c r="D339" s="234"/>
      <c r="E339" s="234"/>
      <c r="F339" s="234"/>
      <c r="G339" s="234"/>
      <c r="H339" s="234"/>
      <c r="I339" s="234"/>
      <c r="J339" s="234"/>
      <c r="K339" s="234"/>
      <c r="M339" s="234"/>
      <c r="N339" s="234"/>
      <c r="O339" s="238"/>
      <c r="P339" s="234"/>
      <c r="Q339" s="234"/>
      <c r="R339" s="234"/>
      <c r="S339" s="234"/>
    </row>
    <row r="340">
      <c r="A340" s="234"/>
      <c r="B340" s="234"/>
      <c r="C340" s="236"/>
      <c r="D340" s="234"/>
      <c r="E340" s="234"/>
      <c r="F340" s="234"/>
      <c r="G340" s="234"/>
      <c r="H340" s="234"/>
      <c r="I340" s="234"/>
      <c r="J340" s="234"/>
      <c r="K340" s="234"/>
      <c r="M340" s="234"/>
      <c r="N340" s="234"/>
      <c r="O340" s="238"/>
      <c r="P340" s="234"/>
      <c r="Q340" s="234"/>
      <c r="R340" s="234"/>
      <c r="S340" s="234"/>
    </row>
    <row r="341">
      <c r="A341" s="234"/>
      <c r="B341" s="234"/>
      <c r="C341" s="236"/>
      <c r="D341" s="234"/>
      <c r="E341" s="234"/>
      <c r="F341" s="234"/>
      <c r="G341" s="234"/>
      <c r="H341" s="234"/>
      <c r="I341" s="234"/>
      <c r="J341" s="234"/>
      <c r="K341" s="234"/>
      <c r="M341" s="234"/>
      <c r="N341" s="234"/>
      <c r="O341" s="238"/>
      <c r="P341" s="234"/>
      <c r="Q341" s="234"/>
      <c r="R341" s="234"/>
      <c r="S341" s="234"/>
    </row>
    <row r="342">
      <c r="A342" s="234"/>
      <c r="B342" s="234"/>
      <c r="C342" s="236"/>
      <c r="D342" s="234"/>
      <c r="E342" s="234"/>
      <c r="F342" s="234"/>
      <c r="G342" s="234"/>
      <c r="H342" s="234"/>
      <c r="I342" s="234"/>
      <c r="J342" s="234"/>
      <c r="K342" s="234"/>
      <c r="M342" s="234"/>
      <c r="N342" s="234"/>
      <c r="O342" s="238"/>
      <c r="P342" s="234"/>
      <c r="Q342" s="234"/>
      <c r="R342" s="234"/>
      <c r="S342" s="234"/>
    </row>
    <row r="343">
      <c r="A343" s="234"/>
      <c r="B343" s="234"/>
      <c r="C343" s="236"/>
      <c r="D343" s="234"/>
      <c r="E343" s="234"/>
      <c r="F343" s="234"/>
      <c r="G343" s="234"/>
      <c r="H343" s="234"/>
      <c r="I343" s="234"/>
      <c r="J343" s="234"/>
      <c r="K343" s="234"/>
      <c r="M343" s="234"/>
      <c r="N343" s="234"/>
      <c r="O343" s="238"/>
      <c r="P343" s="234"/>
      <c r="Q343" s="234"/>
      <c r="R343" s="234"/>
      <c r="S343" s="234"/>
    </row>
    <row r="344">
      <c r="A344" s="234"/>
      <c r="B344" s="234"/>
      <c r="C344" s="236"/>
      <c r="D344" s="234"/>
      <c r="E344" s="234"/>
      <c r="F344" s="234"/>
      <c r="G344" s="234"/>
      <c r="H344" s="234"/>
      <c r="I344" s="234"/>
      <c r="J344" s="234"/>
      <c r="K344" s="234"/>
      <c r="M344" s="234"/>
      <c r="N344" s="234"/>
      <c r="O344" s="238"/>
      <c r="P344" s="234"/>
      <c r="Q344" s="234"/>
      <c r="R344" s="234"/>
      <c r="S344" s="234"/>
    </row>
    <row r="345">
      <c r="A345" s="234"/>
      <c r="B345" s="234"/>
      <c r="C345" s="236"/>
      <c r="D345" s="234"/>
      <c r="E345" s="234"/>
      <c r="F345" s="234"/>
      <c r="G345" s="234"/>
      <c r="H345" s="234"/>
      <c r="I345" s="234"/>
      <c r="J345" s="234"/>
      <c r="K345" s="234"/>
      <c r="M345" s="234"/>
      <c r="N345" s="234"/>
      <c r="O345" s="238"/>
      <c r="P345" s="234"/>
      <c r="Q345" s="234"/>
      <c r="R345" s="234"/>
      <c r="S345" s="234"/>
    </row>
    <row r="346">
      <c r="A346" s="234"/>
      <c r="B346" s="234"/>
      <c r="C346" s="236"/>
      <c r="D346" s="234"/>
      <c r="E346" s="234"/>
      <c r="F346" s="234"/>
      <c r="G346" s="234"/>
      <c r="H346" s="234"/>
      <c r="I346" s="234"/>
      <c r="J346" s="234"/>
      <c r="K346" s="234"/>
      <c r="M346" s="234"/>
      <c r="N346" s="234"/>
      <c r="O346" s="238"/>
      <c r="P346" s="234"/>
      <c r="Q346" s="234"/>
      <c r="R346" s="234"/>
      <c r="S346" s="234"/>
    </row>
    <row r="347">
      <c r="A347" s="234"/>
      <c r="B347" s="234"/>
      <c r="C347" s="236"/>
      <c r="D347" s="234"/>
      <c r="E347" s="234"/>
      <c r="F347" s="234"/>
      <c r="G347" s="234"/>
      <c r="H347" s="234"/>
      <c r="I347" s="234"/>
      <c r="J347" s="234"/>
      <c r="K347" s="234"/>
      <c r="M347" s="234"/>
      <c r="N347" s="234"/>
      <c r="O347" s="238"/>
      <c r="P347" s="234"/>
      <c r="Q347" s="234"/>
      <c r="R347" s="234"/>
      <c r="S347" s="234"/>
    </row>
    <row r="348">
      <c r="A348" s="234"/>
      <c r="B348" s="234"/>
      <c r="C348" s="236"/>
      <c r="D348" s="234"/>
      <c r="E348" s="234"/>
      <c r="F348" s="234"/>
      <c r="G348" s="234"/>
      <c r="H348" s="234"/>
      <c r="I348" s="234"/>
      <c r="J348" s="234"/>
      <c r="K348" s="234"/>
      <c r="M348" s="234"/>
      <c r="N348" s="234"/>
      <c r="O348" s="238"/>
      <c r="P348" s="234"/>
      <c r="Q348" s="234"/>
      <c r="R348" s="234"/>
      <c r="S348" s="234"/>
    </row>
    <row r="349">
      <c r="A349" s="234"/>
      <c r="B349" s="234"/>
      <c r="C349" s="236"/>
      <c r="D349" s="234"/>
      <c r="E349" s="234"/>
      <c r="F349" s="234"/>
      <c r="G349" s="234"/>
      <c r="H349" s="234"/>
      <c r="I349" s="234"/>
      <c r="J349" s="234"/>
      <c r="K349" s="234"/>
      <c r="M349" s="234"/>
      <c r="N349" s="234"/>
      <c r="O349" s="238"/>
      <c r="P349" s="234"/>
      <c r="Q349" s="234"/>
      <c r="R349" s="234"/>
      <c r="S349" s="234"/>
    </row>
    <row r="350">
      <c r="A350" s="234"/>
      <c r="B350" s="234"/>
      <c r="C350" s="236"/>
      <c r="D350" s="234"/>
      <c r="E350" s="234"/>
      <c r="F350" s="234"/>
      <c r="G350" s="234"/>
      <c r="H350" s="234"/>
      <c r="I350" s="234"/>
      <c r="J350" s="234"/>
      <c r="K350" s="234"/>
      <c r="M350" s="234"/>
      <c r="N350" s="234"/>
      <c r="O350" s="238"/>
      <c r="P350" s="234"/>
      <c r="Q350" s="234"/>
      <c r="R350" s="234"/>
      <c r="S350" s="234"/>
    </row>
    <row r="351">
      <c r="A351" s="234"/>
      <c r="B351" s="234"/>
      <c r="C351" s="236"/>
      <c r="D351" s="234"/>
      <c r="E351" s="234"/>
      <c r="F351" s="234"/>
      <c r="G351" s="234"/>
      <c r="H351" s="234"/>
      <c r="I351" s="234"/>
      <c r="J351" s="234"/>
      <c r="K351" s="234"/>
      <c r="M351" s="234"/>
      <c r="N351" s="234"/>
      <c r="O351" s="238"/>
      <c r="P351" s="234"/>
      <c r="Q351" s="234"/>
      <c r="R351" s="234"/>
      <c r="S351" s="234"/>
    </row>
    <row r="352">
      <c r="A352" s="234"/>
      <c r="B352" s="234"/>
      <c r="C352" s="236"/>
      <c r="D352" s="234"/>
      <c r="E352" s="234"/>
      <c r="F352" s="234"/>
      <c r="G352" s="234"/>
      <c r="H352" s="234"/>
      <c r="I352" s="234"/>
      <c r="J352" s="234"/>
      <c r="K352" s="234"/>
      <c r="M352" s="234"/>
      <c r="N352" s="234"/>
      <c r="O352" s="238"/>
      <c r="P352" s="234"/>
      <c r="Q352" s="234"/>
      <c r="R352" s="234"/>
      <c r="S352" s="234"/>
    </row>
    <row r="353">
      <c r="A353" s="234"/>
      <c r="B353" s="234"/>
      <c r="C353" s="236"/>
      <c r="D353" s="234"/>
      <c r="E353" s="234"/>
      <c r="F353" s="234"/>
      <c r="G353" s="234"/>
      <c r="H353" s="234"/>
      <c r="I353" s="234"/>
      <c r="J353" s="234"/>
      <c r="K353" s="234"/>
      <c r="M353" s="234"/>
      <c r="N353" s="234"/>
      <c r="O353" s="238"/>
      <c r="P353" s="234"/>
      <c r="Q353" s="234"/>
      <c r="R353" s="234"/>
      <c r="S353" s="234"/>
    </row>
    <row r="354">
      <c r="A354" s="234"/>
      <c r="B354" s="234"/>
      <c r="C354" s="236"/>
      <c r="D354" s="234"/>
      <c r="E354" s="234"/>
      <c r="F354" s="234"/>
      <c r="G354" s="234"/>
      <c r="H354" s="234"/>
      <c r="I354" s="234"/>
      <c r="J354" s="234"/>
      <c r="K354" s="234"/>
      <c r="M354" s="234"/>
      <c r="N354" s="234"/>
      <c r="O354" s="238"/>
      <c r="P354" s="234"/>
      <c r="Q354" s="234"/>
      <c r="R354" s="234"/>
      <c r="S354" s="234"/>
    </row>
    <row r="355">
      <c r="A355" s="234"/>
      <c r="B355" s="234"/>
      <c r="C355" s="236"/>
      <c r="D355" s="234"/>
      <c r="E355" s="234"/>
      <c r="F355" s="234"/>
      <c r="G355" s="234"/>
      <c r="H355" s="234"/>
      <c r="I355" s="234"/>
      <c r="J355" s="234"/>
      <c r="K355" s="234"/>
      <c r="M355" s="234"/>
      <c r="N355" s="234"/>
      <c r="O355" s="238"/>
      <c r="P355" s="234"/>
      <c r="Q355" s="234"/>
      <c r="R355" s="234"/>
      <c r="S355" s="234"/>
    </row>
    <row r="356">
      <c r="A356" s="234"/>
      <c r="B356" s="234"/>
      <c r="C356" s="236"/>
      <c r="D356" s="234"/>
      <c r="E356" s="234"/>
      <c r="F356" s="234"/>
      <c r="G356" s="234"/>
      <c r="H356" s="234"/>
      <c r="I356" s="234"/>
      <c r="J356" s="234"/>
      <c r="K356" s="234"/>
      <c r="M356" s="234"/>
      <c r="N356" s="234"/>
      <c r="O356" s="238"/>
      <c r="P356" s="234"/>
      <c r="Q356" s="234"/>
      <c r="R356" s="234"/>
      <c r="S356" s="234"/>
    </row>
    <row r="357">
      <c r="A357" s="234"/>
      <c r="B357" s="234"/>
      <c r="C357" s="236"/>
      <c r="D357" s="234"/>
      <c r="E357" s="234"/>
      <c r="F357" s="234"/>
      <c r="G357" s="234"/>
      <c r="H357" s="234"/>
      <c r="I357" s="234"/>
      <c r="J357" s="234"/>
      <c r="K357" s="234"/>
      <c r="M357" s="234"/>
      <c r="N357" s="234"/>
      <c r="O357" s="238"/>
      <c r="P357" s="234"/>
      <c r="Q357" s="234"/>
      <c r="R357" s="234"/>
      <c r="S357" s="234"/>
    </row>
    <row r="358">
      <c r="A358" s="234"/>
      <c r="B358" s="234"/>
      <c r="C358" s="236"/>
      <c r="D358" s="234"/>
      <c r="E358" s="234"/>
      <c r="F358" s="234"/>
      <c r="G358" s="234"/>
      <c r="H358" s="234"/>
      <c r="I358" s="234"/>
      <c r="J358" s="234"/>
      <c r="K358" s="234"/>
      <c r="M358" s="234"/>
      <c r="N358" s="234"/>
      <c r="O358" s="238"/>
      <c r="P358" s="234"/>
      <c r="Q358" s="234"/>
      <c r="R358" s="234"/>
      <c r="S358" s="234"/>
    </row>
    <row r="359">
      <c r="A359" s="234"/>
      <c r="B359" s="234"/>
      <c r="C359" s="236"/>
      <c r="D359" s="234"/>
      <c r="E359" s="234"/>
      <c r="F359" s="234"/>
      <c r="G359" s="234"/>
      <c r="H359" s="234"/>
      <c r="I359" s="234"/>
      <c r="J359" s="234"/>
      <c r="K359" s="234"/>
      <c r="M359" s="234"/>
      <c r="N359" s="234"/>
      <c r="O359" s="238"/>
      <c r="P359" s="234"/>
      <c r="Q359" s="234"/>
      <c r="R359" s="234"/>
      <c r="S359" s="234"/>
    </row>
    <row r="360">
      <c r="A360" s="234"/>
      <c r="B360" s="234"/>
      <c r="C360" s="236"/>
      <c r="D360" s="234"/>
      <c r="E360" s="234"/>
      <c r="F360" s="234"/>
      <c r="G360" s="234"/>
      <c r="H360" s="234"/>
      <c r="I360" s="234"/>
      <c r="J360" s="234"/>
      <c r="K360" s="234"/>
      <c r="M360" s="234"/>
      <c r="N360" s="234"/>
      <c r="O360" s="238"/>
      <c r="P360" s="234"/>
      <c r="Q360" s="234"/>
      <c r="R360" s="234"/>
      <c r="S360" s="234"/>
    </row>
    <row r="361">
      <c r="A361" s="234"/>
      <c r="B361" s="234"/>
      <c r="C361" s="236"/>
      <c r="D361" s="234"/>
      <c r="E361" s="234"/>
      <c r="F361" s="234"/>
      <c r="G361" s="234"/>
      <c r="H361" s="234"/>
      <c r="I361" s="234"/>
      <c r="J361" s="234"/>
      <c r="K361" s="234"/>
      <c r="M361" s="234"/>
      <c r="N361" s="234"/>
      <c r="O361" s="238"/>
      <c r="P361" s="234"/>
      <c r="Q361" s="234"/>
      <c r="R361" s="234"/>
      <c r="S361" s="234"/>
    </row>
    <row r="362">
      <c r="A362" s="234"/>
      <c r="B362" s="234"/>
      <c r="C362" s="236"/>
      <c r="D362" s="234"/>
      <c r="E362" s="234"/>
      <c r="F362" s="234"/>
      <c r="G362" s="234"/>
      <c r="H362" s="234"/>
      <c r="I362" s="234"/>
      <c r="J362" s="234"/>
      <c r="K362" s="234"/>
      <c r="M362" s="234"/>
      <c r="N362" s="234"/>
      <c r="O362" s="238"/>
      <c r="P362" s="234"/>
      <c r="Q362" s="234"/>
      <c r="R362" s="234"/>
      <c r="S362" s="234"/>
    </row>
    <row r="363">
      <c r="A363" s="234"/>
      <c r="B363" s="234"/>
      <c r="C363" s="236"/>
      <c r="D363" s="234"/>
      <c r="E363" s="234"/>
      <c r="F363" s="234"/>
      <c r="G363" s="234"/>
      <c r="H363" s="234"/>
      <c r="I363" s="234"/>
      <c r="J363" s="234"/>
      <c r="K363" s="234"/>
      <c r="M363" s="234"/>
      <c r="N363" s="234"/>
      <c r="O363" s="238"/>
      <c r="P363" s="234"/>
      <c r="Q363" s="234"/>
      <c r="R363" s="234"/>
      <c r="S363" s="234"/>
    </row>
    <row r="364">
      <c r="A364" s="234"/>
      <c r="B364" s="234"/>
      <c r="C364" s="236"/>
      <c r="D364" s="234"/>
      <c r="E364" s="234"/>
      <c r="F364" s="234"/>
      <c r="G364" s="234"/>
      <c r="H364" s="234"/>
      <c r="I364" s="234"/>
      <c r="J364" s="234"/>
      <c r="K364" s="234"/>
      <c r="M364" s="234"/>
      <c r="N364" s="234"/>
      <c r="O364" s="238"/>
      <c r="P364" s="234"/>
      <c r="Q364" s="234"/>
      <c r="R364" s="234"/>
      <c r="S364" s="234"/>
    </row>
    <row r="365">
      <c r="A365" s="234"/>
      <c r="B365" s="234"/>
      <c r="C365" s="236"/>
      <c r="D365" s="234"/>
      <c r="E365" s="234"/>
      <c r="F365" s="234"/>
      <c r="G365" s="234"/>
      <c r="H365" s="234"/>
      <c r="I365" s="234"/>
      <c r="J365" s="234"/>
      <c r="K365" s="234"/>
      <c r="M365" s="234"/>
      <c r="N365" s="234"/>
      <c r="O365" s="238"/>
      <c r="P365" s="234"/>
      <c r="Q365" s="234"/>
      <c r="R365" s="234"/>
      <c r="S365" s="234"/>
    </row>
    <row r="366">
      <c r="A366" s="234"/>
      <c r="B366" s="234"/>
      <c r="C366" s="236"/>
      <c r="D366" s="234"/>
      <c r="E366" s="234"/>
      <c r="F366" s="234"/>
      <c r="G366" s="234"/>
      <c r="H366" s="234"/>
      <c r="I366" s="234"/>
      <c r="J366" s="234"/>
      <c r="K366" s="234"/>
      <c r="M366" s="234"/>
      <c r="N366" s="234"/>
      <c r="O366" s="238"/>
      <c r="P366" s="234"/>
      <c r="Q366" s="234"/>
      <c r="R366" s="234"/>
      <c r="S366" s="234"/>
    </row>
    <row r="367">
      <c r="A367" s="234"/>
      <c r="B367" s="234"/>
      <c r="C367" s="236"/>
      <c r="D367" s="234"/>
      <c r="E367" s="234"/>
      <c r="F367" s="234"/>
      <c r="G367" s="234"/>
      <c r="H367" s="234"/>
      <c r="I367" s="234"/>
      <c r="J367" s="234"/>
      <c r="K367" s="234"/>
      <c r="M367" s="234"/>
      <c r="N367" s="234"/>
      <c r="O367" s="238"/>
      <c r="P367" s="234"/>
      <c r="Q367" s="234"/>
      <c r="R367" s="234"/>
      <c r="S367" s="234"/>
    </row>
    <row r="368">
      <c r="A368" s="234"/>
      <c r="B368" s="234"/>
      <c r="C368" s="236"/>
      <c r="D368" s="234"/>
      <c r="E368" s="234"/>
      <c r="F368" s="234"/>
      <c r="G368" s="234"/>
      <c r="H368" s="234"/>
      <c r="I368" s="234"/>
      <c r="J368" s="234"/>
      <c r="K368" s="234"/>
      <c r="M368" s="234"/>
      <c r="N368" s="234"/>
      <c r="O368" s="238"/>
      <c r="P368" s="234"/>
      <c r="Q368" s="234"/>
      <c r="R368" s="234"/>
      <c r="S368" s="234"/>
    </row>
    <row r="369">
      <c r="A369" s="234"/>
      <c r="B369" s="234"/>
      <c r="C369" s="236"/>
      <c r="D369" s="234"/>
      <c r="E369" s="234"/>
      <c r="F369" s="234"/>
      <c r="G369" s="234"/>
      <c r="H369" s="234"/>
      <c r="I369" s="234"/>
      <c r="J369" s="234"/>
      <c r="K369" s="234"/>
      <c r="M369" s="234"/>
      <c r="N369" s="234"/>
      <c r="O369" s="238"/>
      <c r="P369" s="234"/>
      <c r="Q369" s="234"/>
      <c r="R369" s="234"/>
      <c r="S369" s="234"/>
    </row>
    <row r="370">
      <c r="A370" s="234"/>
      <c r="B370" s="234"/>
      <c r="C370" s="236"/>
      <c r="D370" s="234"/>
      <c r="E370" s="234"/>
      <c r="F370" s="234"/>
      <c r="G370" s="234"/>
      <c r="H370" s="234"/>
      <c r="I370" s="234"/>
      <c r="J370" s="234"/>
      <c r="K370" s="234"/>
      <c r="M370" s="234"/>
      <c r="N370" s="234"/>
      <c r="O370" s="238"/>
      <c r="P370" s="234"/>
      <c r="Q370" s="234"/>
      <c r="R370" s="234"/>
      <c r="S370" s="234"/>
    </row>
    <row r="371">
      <c r="A371" s="234"/>
      <c r="B371" s="234"/>
      <c r="C371" s="236"/>
      <c r="D371" s="234"/>
      <c r="E371" s="234"/>
      <c r="F371" s="234"/>
      <c r="G371" s="234"/>
      <c r="H371" s="234"/>
      <c r="I371" s="234"/>
      <c r="J371" s="234"/>
      <c r="K371" s="234"/>
      <c r="M371" s="234"/>
      <c r="N371" s="234"/>
      <c r="O371" s="238"/>
      <c r="P371" s="234"/>
      <c r="Q371" s="234"/>
      <c r="R371" s="234"/>
      <c r="S371" s="234"/>
    </row>
    <row r="372">
      <c r="A372" s="234"/>
      <c r="B372" s="234"/>
      <c r="C372" s="236"/>
      <c r="D372" s="234"/>
      <c r="E372" s="234"/>
      <c r="F372" s="234"/>
      <c r="G372" s="234"/>
      <c r="H372" s="234"/>
      <c r="I372" s="234"/>
      <c r="J372" s="234"/>
      <c r="K372" s="234"/>
      <c r="M372" s="234"/>
      <c r="N372" s="234"/>
      <c r="O372" s="238"/>
      <c r="P372" s="234"/>
      <c r="Q372" s="234"/>
      <c r="R372" s="234"/>
      <c r="S372" s="234"/>
    </row>
    <row r="373">
      <c r="A373" s="234"/>
      <c r="B373" s="234"/>
      <c r="C373" s="236"/>
      <c r="D373" s="234"/>
      <c r="E373" s="234"/>
      <c r="F373" s="234"/>
      <c r="G373" s="234"/>
      <c r="H373" s="234"/>
      <c r="I373" s="234"/>
      <c r="J373" s="234"/>
      <c r="K373" s="234"/>
      <c r="M373" s="234"/>
      <c r="N373" s="234"/>
      <c r="O373" s="238"/>
      <c r="P373" s="234"/>
      <c r="Q373" s="234"/>
      <c r="R373" s="234"/>
      <c r="S373" s="234"/>
    </row>
    <row r="374">
      <c r="A374" s="234"/>
      <c r="B374" s="234"/>
      <c r="C374" s="236"/>
      <c r="D374" s="234"/>
      <c r="E374" s="234"/>
      <c r="F374" s="234"/>
      <c r="G374" s="234"/>
      <c r="H374" s="234"/>
      <c r="I374" s="234"/>
      <c r="J374" s="234"/>
      <c r="K374" s="234"/>
      <c r="M374" s="234"/>
      <c r="N374" s="234"/>
      <c r="O374" s="238"/>
      <c r="P374" s="234"/>
      <c r="Q374" s="234"/>
      <c r="R374" s="234"/>
      <c r="S374" s="234"/>
    </row>
    <row r="375">
      <c r="A375" s="234"/>
      <c r="B375" s="234"/>
      <c r="C375" s="236"/>
      <c r="D375" s="234"/>
      <c r="E375" s="234"/>
      <c r="F375" s="234"/>
      <c r="G375" s="234"/>
      <c r="H375" s="234"/>
      <c r="I375" s="234"/>
      <c r="J375" s="234"/>
      <c r="K375" s="234"/>
      <c r="M375" s="234"/>
      <c r="N375" s="234"/>
      <c r="O375" s="238"/>
      <c r="P375" s="234"/>
      <c r="Q375" s="234"/>
      <c r="R375" s="234"/>
      <c r="S375" s="234"/>
    </row>
    <row r="376">
      <c r="A376" s="234"/>
      <c r="B376" s="234"/>
      <c r="C376" s="236"/>
      <c r="D376" s="234"/>
      <c r="E376" s="234"/>
      <c r="F376" s="234"/>
      <c r="G376" s="234"/>
      <c r="H376" s="234"/>
      <c r="I376" s="234"/>
      <c r="J376" s="234"/>
      <c r="K376" s="234"/>
      <c r="M376" s="234"/>
      <c r="N376" s="234"/>
      <c r="O376" s="238"/>
      <c r="P376" s="234"/>
      <c r="Q376" s="234"/>
      <c r="R376" s="234"/>
      <c r="S376" s="234"/>
    </row>
    <row r="377">
      <c r="A377" s="234"/>
      <c r="B377" s="234"/>
      <c r="C377" s="236"/>
      <c r="D377" s="234"/>
      <c r="E377" s="234"/>
      <c r="F377" s="234"/>
      <c r="G377" s="234"/>
      <c r="H377" s="234"/>
      <c r="I377" s="234"/>
      <c r="J377" s="234"/>
      <c r="K377" s="234"/>
      <c r="M377" s="234"/>
      <c r="N377" s="234"/>
      <c r="O377" s="238"/>
      <c r="P377" s="234"/>
      <c r="Q377" s="234"/>
      <c r="R377" s="234"/>
      <c r="S377" s="234"/>
    </row>
    <row r="378">
      <c r="A378" s="234"/>
      <c r="B378" s="234"/>
      <c r="C378" s="236"/>
      <c r="D378" s="234"/>
      <c r="E378" s="234"/>
      <c r="F378" s="234"/>
      <c r="G378" s="234"/>
      <c r="H378" s="234"/>
      <c r="I378" s="234"/>
      <c r="J378" s="234"/>
      <c r="K378" s="234"/>
      <c r="M378" s="234"/>
      <c r="N378" s="234"/>
      <c r="O378" s="238"/>
      <c r="P378" s="234"/>
      <c r="Q378" s="234"/>
      <c r="R378" s="234"/>
      <c r="S378" s="234"/>
    </row>
    <row r="379">
      <c r="A379" s="234"/>
      <c r="B379" s="234"/>
      <c r="C379" s="236"/>
      <c r="D379" s="234"/>
      <c r="E379" s="234"/>
      <c r="F379" s="234"/>
      <c r="G379" s="234"/>
      <c r="H379" s="234"/>
      <c r="I379" s="234"/>
      <c r="J379" s="234"/>
      <c r="K379" s="234"/>
      <c r="M379" s="234"/>
      <c r="N379" s="234"/>
      <c r="O379" s="238"/>
      <c r="P379" s="234"/>
      <c r="Q379" s="234"/>
      <c r="R379" s="234"/>
      <c r="S379" s="234"/>
    </row>
    <row r="380">
      <c r="A380" s="234"/>
      <c r="B380" s="234"/>
      <c r="C380" s="236"/>
      <c r="D380" s="234"/>
      <c r="E380" s="234"/>
      <c r="F380" s="234"/>
      <c r="G380" s="234"/>
      <c r="H380" s="234"/>
      <c r="I380" s="234"/>
      <c r="J380" s="234"/>
      <c r="K380" s="234"/>
      <c r="M380" s="234"/>
      <c r="N380" s="234"/>
      <c r="O380" s="238"/>
      <c r="P380" s="234"/>
      <c r="Q380" s="234"/>
      <c r="R380" s="234"/>
      <c r="S380" s="234"/>
    </row>
    <row r="381">
      <c r="A381" s="234"/>
      <c r="B381" s="234"/>
      <c r="C381" s="236"/>
      <c r="D381" s="234"/>
      <c r="E381" s="234"/>
      <c r="F381" s="234"/>
      <c r="G381" s="234"/>
      <c r="H381" s="234"/>
      <c r="I381" s="234"/>
      <c r="J381" s="234"/>
      <c r="K381" s="234"/>
      <c r="M381" s="234"/>
      <c r="N381" s="234"/>
      <c r="O381" s="238"/>
      <c r="P381" s="234"/>
      <c r="Q381" s="234"/>
      <c r="R381" s="234"/>
      <c r="S381" s="234"/>
    </row>
    <row r="382">
      <c r="A382" s="234"/>
      <c r="B382" s="234"/>
      <c r="C382" s="236"/>
      <c r="D382" s="234"/>
      <c r="E382" s="234"/>
      <c r="F382" s="234"/>
      <c r="G382" s="234"/>
      <c r="H382" s="234"/>
      <c r="I382" s="234"/>
      <c r="J382" s="234"/>
      <c r="K382" s="234"/>
      <c r="M382" s="234"/>
      <c r="N382" s="234"/>
      <c r="O382" s="238"/>
      <c r="P382" s="234"/>
      <c r="Q382" s="234"/>
      <c r="R382" s="234"/>
      <c r="S382" s="234"/>
    </row>
    <row r="383">
      <c r="A383" s="234"/>
      <c r="B383" s="234"/>
      <c r="C383" s="236"/>
      <c r="D383" s="234"/>
      <c r="E383" s="234"/>
      <c r="F383" s="234"/>
      <c r="G383" s="234"/>
      <c r="H383" s="234"/>
      <c r="I383" s="234"/>
      <c r="J383" s="234"/>
      <c r="K383" s="234"/>
      <c r="M383" s="234"/>
      <c r="N383" s="234"/>
      <c r="O383" s="238"/>
      <c r="P383" s="234"/>
      <c r="Q383" s="234"/>
      <c r="R383" s="234"/>
      <c r="S383" s="234"/>
    </row>
    <row r="384">
      <c r="A384" s="234"/>
      <c r="B384" s="234"/>
      <c r="C384" s="236"/>
      <c r="D384" s="234"/>
      <c r="E384" s="234"/>
      <c r="F384" s="234"/>
      <c r="G384" s="234"/>
      <c r="H384" s="234"/>
      <c r="I384" s="234"/>
      <c r="J384" s="234"/>
      <c r="K384" s="234"/>
      <c r="M384" s="234"/>
      <c r="N384" s="234"/>
      <c r="O384" s="238"/>
      <c r="P384" s="234"/>
      <c r="Q384" s="234"/>
      <c r="R384" s="234"/>
      <c r="S384" s="234"/>
    </row>
    <row r="385">
      <c r="A385" s="234"/>
      <c r="B385" s="234"/>
      <c r="C385" s="236"/>
      <c r="D385" s="234"/>
      <c r="E385" s="234"/>
      <c r="F385" s="234"/>
      <c r="G385" s="234"/>
      <c r="H385" s="234"/>
      <c r="I385" s="234"/>
      <c r="J385" s="234"/>
      <c r="K385" s="234"/>
      <c r="M385" s="234"/>
      <c r="N385" s="234"/>
      <c r="O385" s="238"/>
      <c r="P385" s="234"/>
      <c r="Q385" s="234"/>
      <c r="R385" s="234"/>
      <c r="S385" s="234"/>
    </row>
    <row r="386">
      <c r="A386" s="234"/>
      <c r="B386" s="234"/>
      <c r="C386" s="236"/>
      <c r="D386" s="234"/>
      <c r="E386" s="234"/>
      <c r="F386" s="234"/>
      <c r="G386" s="234"/>
      <c r="H386" s="234"/>
      <c r="I386" s="234"/>
      <c r="J386" s="234"/>
      <c r="K386" s="234"/>
      <c r="M386" s="234"/>
      <c r="N386" s="234"/>
      <c r="O386" s="238"/>
      <c r="P386" s="234"/>
      <c r="Q386" s="234"/>
      <c r="R386" s="234"/>
      <c r="S386" s="234"/>
    </row>
    <row r="387">
      <c r="A387" s="234"/>
      <c r="B387" s="234"/>
      <c r="C387" s="236"/>
      <c r="D387" s="234"/>
      <c r="E387" s="234"/>
      <c r="F387" s="234"/>
      <c r="G387" s="234"/>
      <c r="H387" s="234"/>
      <c r="I387" s="234"/>
      <c r="J387" s="234"/>
      <c r="K387" s="234"/>
      <c r="M387" s="234"/>
      <c r="N387" s="234"/>
      <c r="O387" s="238"/>
      <c r="P387" s="234"/>
      <c r="Q387" s="234"/>
      <c r="R387" s="234"/>
      <c r="S387" s="234"/>
    </row>
    <row r="388">
      <c r="A388" s="234"/>
      <c r="B388" s="234"/>
      <c r="C388" s="236"/>
      <c r="D388" s="234"/>
      <c r="E388" s="234"/>
      <c r="F388" s="234"/>
      <c r="G388" s="234"/>
      <c r="H388" s="234"/>
      <c r="I388" s="234"/>
      <c r="J388" s="234"/>
      <c r="K388" s="234"/>
      <c r="M388" s="234"/>
      <c r="N388" s="234"/>
      <c r="O388" s="238"/>
      <c r="P388" s="234"/>
      <c r="Q388" s="234"/>
      <c r="R388" s="234"/>
      <c r="S388" s="234"/>
    </row>
    <row r="389">
      <c r="A389" s="234"/>
      <c r="B389" s="234"/>
      <c r="C389" s="236"/>
      <c r="D389" s="234"/>
      <c r="E389" s="234"/>
      <c r="F389" s="234"/>
      <c r="G389" s="234"/>
      <c r="H389" s="234"/>
      <c r="I389" s="234"/>
      <c r="J389" s="234"/>
      <c r="K389" s="234"/>
      <c r="M389" s="234"/>
      <c r="N389" s="234"/>
      <c r="O389" s="238"/>
      <c r="P389" s="234"/>
      <c r="Q389" s="234"/>
      <c r="R389" s="234"/>
      <c r="S389" s="234"/>
    </row>
    <row r="390">
      <c r="A390" s="234"/>
      <c r="B390" s="234"/>
      <c r="C390" s="236"/>
      <c r="D390" s="234"/>
      <c r="E390" s="234"/>
      <c r="F390" s="234"/>
      <c r="G390" s="234"/>
      <c r="H390" s="234"/>
      <c r="I390" s="234"/>
      <c r="J390" s="234"/>
      <c r="K390" s="234"/>
      <c r="M390" s="234"/>
      <c r="N390" s="234"/>
      <c r="O390" s="238"/>
      <c r="P390" s="234"/>
      <c r="Q390" s="234"/>
      <c r="R390" s="234"/>
      <c r="S390" s="234"/>
    </row>
    <row r="391">
      <c r="A391" s="234"/>
      <c r="B391" s="234"/>
      <c r="C391" s="236"/>
      <c r="D391" s="234"/>
      <c r="E391" s="234"/>
      <c r="F391" s="234"/>
      <c r="G391" s="234"/>
      <c r="H391" s="234"/>
      <c r="I391" s="234"/>
      <c r="J391" s="234"/>
      <c r="K391" s="234"/>
      <c r="M391" s="234"/>
      <c r="N391" s="234"/>
      <c r="O391" s="238"/>
      <c r="P391" s="234"/>
      <c r="Q391" s="234"/>
      <c r="R391" s="234"/>
      <c r="S391" s="234"/>
    </row>
    <row r="392">
      <c r="A392" s="234"/>
      <c r="B392" s="234"/>
      <c r="C392" s="236"/>
      <c r="D392" s="234"/>
      <c r="E392" s="234"/>
      <c r="F392" s="234"/>
      <c r="G392" s="234"/>
      <c r="H392" s="234"/>
      <c r="I392" s="234"/>
      <c r="J392" s="234"/>
      <c r="K392" s="234"/>
      <c r="M392" s="234"/>
      <c r="N392" s="234"/>
      <c r="O392" s="238"/>
      <c r="P392" s="234"/>
      <c r="Q392" s="234"/>
      <c r="R392" s="234"/>
      <c r="S392" s="234"/>
    </row>
    <row r="393">
      <c r="A393" s="234"/>
      <c r="B393" s="234"/>
      <c r="C393" s="236"/>
      <c r="D393" s="234"/>
      <c r="E393" s="234"/>
      <c r="F393" s="234"/>
      <c r="G393" s="234"/>
      <c r="H393" s="234"/>
      <c r="I393" s="234"/>
      <c r="J393" s="234"/>
      <c r="K393" s="234"/>
      <c r="M393" s="234"/>
      <c r="N393" s="234"/>
      <c r="O393" s="238"/>
      <c r="P393" s="234"/>
      <c r="Q393" s="234"/>
      <c r="R393" s="234"/>
      <c r="S393" s="234"/>
    </row>
    <row r="394">
      <c r="A394" s="234"/>
      <c r="B394" s="234"/>
      <c r="C394" s="236"/>
      <c r="D394" s="234"/>
      <c r="E394" s="234"/>
      <c r="F394" s="234"/>
      <c r="G394" s="234"/>
      <c r="H394" s="234"/>
      <c r="I394" s="234"/>
      <c r="J394" s="234"/>
      <c r="K394" s="234"/>
      <c r="M394" s="234"/>
      <c r="N394" s="234"/>
      <c r="O394" s="238"/>
      <c r="P394" s="234"/>
      <c r="Q394" s="234"/>
      <c r="R394" s="234"/>
      <c r="S394" s="234"/>
    </row>
    <row r="395">
      <c r="A395" s="234"/>
      <c r="B395" s="234"/>
      <c r="C395" s="236"/>
      <c r="D395" s="234"/>
      <c r="E395" s="234"/>
      <c r="F395" s="234"/>
      <c r="G395" s="234"/>
      <c r="H395" s="234"/>
      <c r="I395" s="234"/>
      <c r="J395" s="234"/>
      <c r="K395" s="234"/>
      <c r="M395" s="234"/>
      <c r="N395" s="234"/>
      <c r="O395" s="238"/>
      <c r="P395" s="234"/>
      <c r="Q395" s="234"/>
      <c r="R395" s="234"/>
      <c r="S395" s="234"/>
    </row>
    <row r="396">
      <c r="A396" s="234"/>
      <c r="B396" s="234"/>
      <c r="C396" s="236"/>
      <c r="D396" s="234"/>
      <c r="E396" s="234"/>
      <c r="F396" s="234"/>
      <c r="G396" s="234"/>
      <c r="H396" s="234"/>
      <c r="I396" s="234"/>
      <c r="J396" s="234"/>
      <c r="K396" s="234"/>
      <c r="M396" s="234"/>
      <c r="N396" s="234"/>
      <c r="O396" s="238"/>
      <c r="P396" s="234"/>
      <c r="Q396" s="234"/>
      <c r="R396" s="234"/>
      <c r="S396" s="234"/>
    </row>
    <row r="397">
      <c r="A397" s="234"/>
      <c r="B397" s="234"/>
      <c r="C397" s="236"/>
      <c r="D397" s="234"/>
      <c r="E397" s="234"/>
      <c r="F397" s="234"/>
      <c r="G397" s="234"/>
      <c r="H397" s="234"/>
      <c r="I397" s="234"/>
      <c r="J397" s="234"/>
      <c r="K397" s="234"/>
      <c r="M397" s="234"/>
      <c r="N397" s="234"/>
      <c r="O397" s="238"/>
      <c r="P397" s="234"/>
      <c r="Q397" s="234"/>
      <c r="R397" s="234"/>
      <c r="S397" s="234"/>
    </row>
    <row r="398">
      <c r="A398" s="234"/>
      <c r="B398" s="234"/>
      <c r="C398" s="236"/>
      <c r="D398" s="234"/>
      <c r="E398" s="234"/>
      <c r="F398" s="234"/>
      <c r="G398" s="234"/>
      <c r="H398" s="234"/>
      <c r="I398" s="234"/>
      <c r="J398" s="234"/>
      <c r="K398" s="234"/>
      <c r="M398" s="234"/>
      <c r="N398" s="234"/>
      <c r="O398" s="238"/>
      <c r="P398" s="234"/>
      <c r="Q398" s="234"/>
      <c r="R398" s="234"/>
      <c r="S398" s="234"/>
    </row>
    <row r="399">
      <c r="A399" s="234"/>
      <c r="B399" s="234"/>
      <c r="C399" s="236"/>
      <c r="D399" s="234"/>
      <c r="E399" s="234"/>
      <c r="F399" s="234"/>
      <c r="G399" s="234"/>
      <c r="H399" s="234"/>
      <c r="I399" s="234"/>
      <c r="J399" s="234"/>
      <c r="K399" s="234"/>
      <c r="M399" s="234"/>
      <c r="N399" s="234"/>
      <c r="O399" s="238"/>
      <c r="P399" s="234"/>
      <c r="Q399" s="234"/>
      <c r="R399" s="234"/>
      <c r="S399" s="234"/>
    </row>
    <row r="400">
      <c r="A400" s="234"/>
      <c r="B400" s="234"/>
      <c r="C400" s="236"/>
      <c r="D400" s="234"/>
      <c r="E400" s="234"/>
      <c r="F400" s="234"/>
      <c r="G400" s="234"/>
      <c r="H400" s="234"/>
      <c r="I400" s="234"/>
      <c r="J400" s="234"/>
      <c r="K400" s="234"/>
      <c r="M400" s="234"/>
      <c r="N400" s="234"/>
      <c r="O400" s="238"/>
      <c r="P400" s="234"/>
      <c r="Q400" s="234"/>
      <c r="R400" s="234"/>
      <c r="S400" s="234"/>
    </row>
    <row r="401">
      <c r="A401" s="234"/>
      <c r="B401" s="234"/>
      <c r="C401" s="236"/>
      <c r="D401" s="234"/>
      <c r="E401" s="234"/>
      <c r="F401" s="234"/>
      <c r="G401" s="234"/>
      <c r="H401" s="234"/>
      <c r="I401" s="234"/>
      <c r="J401" s="234"/>
      <c r="K401" s="234"/>
      <c r="M401" s="234"/>
      <c r="N401" s="234"/>
      <c r="O401" s="238"/>
      <c r="P401" s="234"/>
      <c r="Q401" s="234"/>
      <c r="R401" s="234"/>
      <c r="S401" s="234"/>
    </row>
    <row r="402">
      <c r="A402" s="234"/>
      <c r="B402" s="234"/>
      <c r="C402" s="236"/>
      <c r="D402" s="234"/>
      <c r="E402" s="234"/>
      <c r="F402" s="234"/>
      <c r="G402" s="234"/>
      <c r="H402" s="234"/>
      <c r="I402" s="234"/>
      <c r="J402" s="234"/>
      <c r="K402" s="234"/>
      <c r="M402" s="234"/>
      <c r="N402" s="234"/>
      <c r="O402" s="238"/>
      <c r="P402" s="234"/>
      <c r="Q402" s="234"/>
      <c r="R402" s="234"/>
      <c r="S402" s="234"/>
    </row>
    <row r="403">
      <c r="A403" s="234"/>
      <c r="B403" s="234"/>
      <c r="C403" s="236"/>
      <c r="D403" s="234"/>
      <c r="E403" s="234"/>
      <c r="F403" s="234"/>
      <c r="G403" s="234"/>
      <c r="H403" s="234"/>
      <c r="I403" s="234"/>
      <c r="J403" s="234"/>
      <c r="K403" s="234"/>
      <c r="M403" s="234"/>
      <c r="N403" s="234"/>
      <c r="O403" s="238"/>
      <c r="P403" s="234"/>
      <c r="Q403" s="234"/>
      <c r="R403" s="234"/>
      <c r="S403" s="234"/>
    </row>
    <row r="404">
      <c r="A404" s="234"/>
      <c r="B404" s="234"/>
      <c r="C404" s="236"/>
      <c r="D404" s="234"/>
      <c r="E404" s="234"/>
      <c r="F404" s="234"/>
      <c r="G404" s="234"/>
      <c r="H404" s="234"/>
      <c r="I404" s="234"/>
      <c r="J404" s="234"/>
      <c r="K404" s="234"/>
      <c r="M404" s="234"/>
      <c r="N404" s="234"/>
      <c r="O404" s="238"/>
      <c r="P404" s="234"/>
      <c r="Q404" s="234"/>
      <c r="R404" s="234"/>
      <c r="S404" s="234"/>
    </row>
    <row r="405">
      <c r="A405" s="234"/>
      <c r="B405" s="234"/>
      <c r="C405" s="236"/>
      <c r="D405" s="234"/>
      <c r="E405" s="234"/>
      <c r="F405" s="234"/>
      <c r="G405" s="234"/>
      <c r="H405" s="234"/>
      <c r="I405" s="234"/>
      <c r="J405" s="234"/>
      <c r="K405" s="234"/>
      <c r="M405" s="234"/>
      <c r="N405" s="234"/>
      <c r="O405" s="238"/>
      <c r="P405" s="234"/>
      <c r="Q405" s="234"/>
      <c r="R405" s="234"/>
      <c r="S405" s="234"/>
    </row>
    <row r="406">
      <c r="A406" s="234"/>
      <c r="B406" s="234"/>
      <c r="C406" s="236"/>
      <c r="D406" s="234"/>
      <c r="E406" s="234"/>
      <c r="F406" s="234"/>
      <c r="G406" s="234"/>
      <c r="H406" s="234"/>
      <c r="I406" s="234"/>
      <c r="J406" s="234"/>
      <c r="K406" s="234"/>
      <c r="M406" s="234"/>
      <c r="N406" s="234"/>
      <c r="O406" s="238"/>
      <c r="P406" s="234"/>
      <c r="Q406" s="234"/>
      <c r="R406" s="234"/>
      <c r="S406" s="234"/>
    </row>
    <row r="407">
      <c r="A407" s="234"/>
      <c r="B407" s="234"/>
      <c r="C407" s="236"/>
      <c r="D407" s="234"/>
      <c r="E407" s="234"/>
      <c r="F407" s="234"/>
      <c r="G407" s="234"/>
      <c r="H407" s="234"/>
      <c r="I407" s="234"/>
      <c r="J407" s="234"/>
      <c r="K407" s="234"/>
      <c r="M407" s="234"/>
      <c r="N407" s="234"/>
      <c r="O407" s="238"/>
      <c r="P407" s="234"/>
      <c r="Q407" s="234"/>
      <c r="R407" s="234"/>
      <c r="S407" s="234"/>
    </row>
    <row r="408">
      <c r="A408" s="234"/>
      <c r="B408" s="234"/>
      <c r="C408" s="236"/>
      <c r="D408" s="234"/>
      <c r="E408" s="234"/>
      <c r="F408" s="234"/>
      <c r="G408" s="234"/>
      <c r="H408" s="234"/>
      <c r="I408" s="234"/>
      <c r="J408" s="234"/>
      <c r="K408" s="234"/>
      <c r="M408" s="234"/>
      <c r="N408" s="234"/>
      <c r="O408" s="238"/>
      <c r="P408" s="234"/>
      <c r="Q408" s="234"/>
      <c r="R408" s="234"/>
      <c r="S408" s="234"/>
    </row>
    <row r="409">
      <c r="A409" s="234"/>
      <c r="B409" s="234"/>
      <c r="C409" s="236"/>
      <c r="D409" s="234"/>
      <c r="E409" s="234"/>
      <c r="F409" s="234"/>
      <c r="G409" s="234"/>
      <c r="H409" s="234"/>
      <c r="I409" s="234"/>
      <c r="J409" s="234"/>
      <c r="K409" s="234"/>
      <c r="M409" s="234"/>
      <c r="N409" s="234"/>
      <c r="O409" s="238"/>
      <c r="P409" s="234"/>
      <c r="Q409" s="234"/>
      <c r="R409" s="234"/>
      <c r="S409" s="234"/>
    </row>
    <row r="410">
      <c r="A410" s="234"/>
      <c r="B410" s="234"/>
      <c r="C410" s="236"/>
      <c r="D410" s="234"/>
      <c r="E410" s="234"/>
      <c r="F410" s="234"/>
      <c r="G410" s="234"/>
      <c r="H410" s="234"/>
      <c r="I410" s="234"/>
      <c r="J410" s="234"/>
      <c r="K410" s="234"/>
      <c r="M410" s="234"/>
      <c r="N410" s="234"/>
      <c r="O410" s="238"/>
      <c r="P410" s="234"/>
      <c r="Q410" s="234"/>
      <c r="R410" s="234"/>
      <c r="S410" s="234"/>
    </row>
    <row r="411">
      <c r="A411" s="234"/>
      <c r="B411" s="234"/>
      <c r="C411" s="236"/>
      <c r="D411" s="234"/>
      <c r="E411" s="234"/>
      <c r="F411" s="234"/>
      <c r="G411" s="234"/>
      <c r="H411" s="234"/>
      <c r="I411" s="234"/>
      <c r="J411" s="234"/>
      <c r="K411" s="234"/>
      <c r="M411" s="234"/>
      <c r="N411" s="234"/>
      <c r="O411" s="238"/>
      <c r="P411" s="234"/>
      <c r="Q411" s="234"/>
      <c r="R411" s="234"/>
      <c r="S411" s="234"/>
    </row>
    <row r="412">
      <c r="A412" s="234"/>
      <c r="B412" s="234"/>
      <c r="C412" s="236"/>
      <c r="D412" s="234"/>
      <c r="E412" s="234"/>
      <c r="F412" s="234"/>
      <c r="G412" s="234"/>
      <c r="H412" s="234"/>
      <c r="I412" s="234"/>
      <c r="J412" s="234"/>
      <c r="K412" s="234"/>
      <c r="M412" s="234"/>
      <c r="N412" s="234"/>
      <c r="O412" s="238"/>
      <c r="P412" s="234"/>
      <c r="Q412" s="234"/>
      <c r="R412" s="234"/>
      <c r="S412" s="234"/>
    </row>
    <row r="413">
      <c r="A413" s="234"/>
      <c r="B413" s="234"/>
      <c r="C413" s="236"/>
      <c r="D413" s="234"/>
      <c r="E413" s="234"/>
      <c r="F413" s="234"/>
      <c r="G413" s="234"/>
      <c r="H413" s="234"/>
      <c r="I413" s="234"/>
      <c r="J413" s="234"/>
      <c r="K413" s="234"/>
      <c r="M413" s="234"/>
      <c r="N413" s="234"/>
      <c r="O413" s="238"/>
      <c r="P413" s="234"/>
      <c r="Q413" s="234"/>
      <c r="R413" s="234"/>
      <c r="S413" s="234"/>
    </row>
    <row r="414">
      <c r="A414" s="234"/>
      <c r="B414" s="234"/>
      <c r="C414" s="236"/>
      <c r="D414" s="234"/>
      <c r="E414" s="234"/>
      <c r="F414" s="234"/>
      <c r="G414" s="234"/>
      <c r="H414" s="234"/>
      <c r="I414" s="234"/>
      <c r="J414" s="234"/>
      <c r="K414" s="234"/>
      <c r="M414" s="234"/>
      <c r="N414" s="234"/>
      <c r="O414" s="238"/>
      <c r="P414" s="234"/>
      <c r="Q414" s="234"/>
      <c r="R414" s="234"/>
      <c r="S414" s="234"/>
    </row>
    <row r="415">
      <c r="A415" s="234"/>
      <c r="B415" s="234"/>
      <c r="C415" s="236"/>
      <c r="D415" s="234"/>
      <c r="E415" s="234"/>
      <c r="F415" s="234"/>
      <c r="G415" s="234"/>
      <c r="H415" s="234"/>
      <c r="I415" s="234"/>
      <c r="J415" s="234"/>
      <c r="K415" s="234"/>
      <c r="M415" s="234"/>
      <c r="N415" s="234"/>
      <c r="O415" s="238"/>
      <c r="P415" s="234"/>
      <c r="Q415" s="234"/>
      <c r="R415" s="234"/>
      <c r="S415" s="234"/>
    </row>
    <row r="416">
      <c r="A416" s="234"/>
      <c r="B416" s="234"/>
      <c r="C416" s="236"/>
      <c r="D416" s="234"/>
      <c r="E416" s="234"/>
      <c r="F416" s="234"/>
      <c r="G416" s="234"/>
      <c r="H416" s="234"/>
      <c r="I416" s="234"/>
      <c r="J416" s="234"/>
      <c r="K416" s="234"/>
      <c r="M416" s="234"/>
      <c r="N416" s="234"/>
      <c r="O416" s="238"/>
      <c r="P416" s="234"/>
      <c r="Q416" s="234"/>
      <c r="R416" s="234"/>
      <c r="S416" s="234"/>
    </row>
    <row r="417">
      <c r="A417" s="234"/>
      <c r="B417" s="234"/>
      <c r="C417" s="236"/>
      <c r="D417" s="234"/>
      <c r="E417" s="234"/>
      <c r="F417" s="234"/>
      <c r="G417" s="234"/>
      <c r="H417" s="234"/>
      <c r="I417" s="234"/>
      <c r="J417" s="234"/>
      <c r="K417" s="234"/>
      <c r="M417" s="234"/>
      <c r="N417" s="234"/>
      <c r="O417" s="238"/>
      <c r="P417" s="234"/>
      <c r="Q417" s="234"/>
      <c r="R417" s="234"/>
      <c r="S417" s="234"/>
    </row>
    <row r="418">
      <c r="A418" s="234"/>
      <c r="B418" s="234"/>
      <c r="C418" s="236"/>
      <c r="D418" s="234"/>
      <c r="E418" s="234"/>
      <c r="F418" s="234"/>
      <c r="G418" s="234"/>
      <c r="H418" s="234"/>
      <c r="I418" s="234"/>
      <c r="J418" s="234"/>
      <c r="K418" s="234"/>
      <c r="M418" s="234"/>
      <c r="N418" s="234"/>
      <c r="O418" s="238"/>
      <c r="P418" s="234"/>
      <c r="Q418" s="234"/>
      <c r="R418" s="234"/>
      <c r="S418" s="234"/>
    </row>
    <row r="419">
      <c r="A419" s="234"/>
      <c r="B419" s="234"/>
      <c r="C419" s="236"/>
      <c r="D419" s="234"/>
      <c r="E419" s="234"/>
      <c r="F419" s="234"/>
      <c r="G419" s="234"/>
      <c r="H419" s="234"/>
      <c r="I419" s="234"/>
      <c r="J419" s="234"/>
      <c r="K419" s="234"/>
      <c r="M419" s="234"/>
      <c r="N419" s="234"/>
      <c r="O419" s="238"/>
      <c r="P419" s="234"/>
      <c r="Q419" s="234"/>
      <c r="R419" s="234"/>
      <c r="S419" s="234"/>
    </row>
    <row r="420">
      <c r="A420" s="234"/>
      <c r="B420" s="234"/>
      <c r="C420" s="236"/>
      <c r="D420" s="234"/>
      <c r="E420" s="234"/>
      <c r="F420" s="234"/>
      <c r="G420" s="234"/>
      <c r="H420" s="234"/>
      <c r="I420" s="234"/>
      <c r="J420" s="234"/>
      <c r="K420" s="234"/>
      <c r="M420" s="234"/>
      <c r="N420" s="234"/>
      <c r="O420" s="238"/>
      <c r="P420" s="234"/>
      <c r="Q420" s="234"/>
      <c r="R420" s="234"/>
      <c r="S420" s="234"/>
    </row>
    <row r="421">
      <c r="A421" s="234"/>
      <c r="B421" s="234"/>
      <c r="C421" s="236"/>
      <c r="D421" s="234"/>
      <c r="E421" s="234"/>
      <c r="F421" s="234"/>
      <c r="G421" s="234"/>
      <c r="H421" s="234"/>
      <c r="I421" s="234"/>
      <c r="J421" s="234"/>
      <c r="K421" s="234"/>
      <c r="M421" s="234"/>
      <c r="N421" s="234"/>
      <c r="O421" s="238"/>
      <c r="P421" s="234"/>
      <c r="Q421" s="234"/>
      <c r="R421" s="234"/>
      <c r="S421" s="234"/>
    </row>
    <row r="422">
      <c r="A422" s="234"/>
      <c r="B422" s="234"/>
      <c r="C422" s="236"/>
      <c r="D422" s="234"/>
      <c r="E422" s="234"/>
      <c r="F422" s="234"/>
      <c r="G422" s="234"/>
      <c r="H422" s="234"/>
      <c r="I422" s="234"/>
      <c r="J422" s="234"/>
      <c r="K422" s="234"/>
      <c r="M422" s="234"/>
      <c r="N422" s="234"/>
      <c r="O422" s="238"/>
      <c r="P422" s="234"/>
      <c r="Q422" s="234"/>
      <c r="R422" s="234"/>
      <c r="S422" s="234"/>
    </row>
    <row r="423">
      <c r="A423" s="234"/>
      <c r="B423" s="234"/>
      <c r="C423" s="236"/>
      <c r="D423" s="234"/>
      <c r="E423" s="234"/>
      <c r="F423" s="234"/>
      <c r="G423" s="234"/>
      <c r="H423" s="234"/>
      <c r="I423" s="234"/>
      <c r="J423" s="234"/>
      <c r="K423" s="234"/>
      <c r="M423" s="234"/>
      <c r="N423" s="234"/>
      <c r="O423" s="238"/>
      <c r="P423" s="234"/>
      <c r="Q423" s="234"/>
      <c r="R423" s="234"/>
      <c r="S423" s="234"/>
    </row>
    <row r="424">
      <c r="A424" s="234"/>
      <c r="B424" s="234"/>
      <c r="C424" s="236"/>
      <c r="D424" s="234"/>
      <c r="E424" s="234"/>
      <c r="F424" s="234"/>
      <c r="G424" s="234"/>
      <c r="H424" s="234"/>
      <c r="I424" s="234"/>
      <c r="J424" s="234"/>
      <c r="K424" s="234"/>
      <c r="M424" s="234"/>
      <c r="N424" s="234"/>
      <c r="O424" s="238"/>
      <c r="P424" s="234"/>
      <c r="Q424" s="234"/>
      <c r="R424" s="234"/>
      <c r="S424" s="234"/>
    </row>
    <row r="425">
      <c r="A425" s="234"/>
      <c r="B425" s="234"/>
      <c r="C425" s="236"/>
      <c r="D425" s="234"/>
      <c r="E425" s="234"/>
      <c r="F425" s="234"/>
      <c r="G425" s="234"/>
      <c r="H425" s="234"/>
      <c r="I425" s="234"/>
      <c r="J425" s="234"/>
      <c r="K425" s="234"/>
      <c r="M425" s="234"/>
      <c r="N425" s="234"/>
      <c r="O425" s="238"/>
      <c r="P425" s="234"/>
      <c r="Q425" s="234"/>
      <c r="R425" s="234"/>
      <c r="S425" s="234"/>
    </row>
    <row r="426">
      <c r="A426" s="234"/>
      <c r="B426" s="234"/>
      <c r="C426" s="236"/>
      <c r="D426" s="234"/>
      <c r="E426" s="234"/>
      <c r="F426" s="234"/>
      <c r="G426" s="234"/>
      <c r="H426" s="234"/>
      <c r="I426" s="234"/>
      <c r="J426" s="234"/>
      <c r="K426" s="234"/>
      <c r="M426" s="234"/>
      <c r="N426" s="234"/>
      <c r="O426" s="238"/>
      <c r="P426" s="234"/>
      <c r="Q426" s="234"/>
      <c r="R426" s="234"/>
      <c r="S426" s="234"/>
    </row>
    <row r="427">
      <c r="A427" s="234"/>
      <c r="B427" s="234"/>
      <c r="C427" s="236"/>
      <c r="D427" s="234"/>
      <c r="E427" s="234"/>
      <c r="F427" s="234"/>
      <c r="G427" s="234"/>
      <c r="H427" s="234"/>
      <c r="I427" s="234"/>
      <c r="J427" s="234"/>
      <c r="K427" s="234"/>
      <c r="M427" s="234"/>
      <c r="N427" s="234"/>
      <c r="O427" s="238"/>
      <c r="P427" s="234"/>
      <c r="Q427" s="234"/>
      <c r="R427" s="234"/>
      <c r="S427" s="234"/>
    </row>
    <row r="428">
      <c r="A428" s="234"/>
      <c r="B428" s="234"/>
      <c r="C428" s="236"/>
      <c r="D428" s="234"/>
      <c r="E428" s="234"/>
      <c r="F428" s="234"/>
      <c r="G428" s="234"/>
      <c r="H428" s="234"/>
      <c r="I428" s="234"/>
      <c r="J428" s="234"/>
      <c r="K428" s="234"/>
      <c r="M428" s="234"/>
      <c r="N428" s="234"/>
      <c r="O428" s="238"/>
      <c r="P428" s="234"/>
      <c r="Q428" s="234"/>
      <c r="R428" s="234"/>
      <c r="S428" s="234"/>
    </row>
    <row r="429">
      <c r="A429" s="234"/>
      <c r="B429" s="234"/>
      <c r="C429" s="236"/>
      <c r="D429" s="234"/>
      <c r="E429" s="234"/>
      <c r="F429" s="234"/>
      <c r="G429" s="234"/>
      <c r="H429" s="234"/>
      <c r="I429" s="234"/>
      <c r="J429" s="234"/>
      <c r="K429" s="234"/>
      <c r="M429" s="234"/>
      <c r="N429" s="234"/>
      <c r="O429" s="238"/>
      <c r="P429" s="234"/>
      <c r="Q429" s="234"/>
      <c r="R429" s="234"/>
      <c r="S429" s="234"/>
    </row>
    <row r="430">
      <c r="A430" s="234"/>
      <c r="B430" s="234"/>
      <c r="C430" s="236"/>
      <c r="D430" s="234"/>
      <c r="E430" s="234"/>
      <c r="F430" s="234"/>
      <c r="G430" s="234"/>
      <c r="H430" s="234"/>
      <c r="I430" s="234"/>
      <c r="J430" s="234"/>
      <c r="K430" s="234"/>
      <c r="M430" s="234"/>
      <c r="N430" s="234"/>
      <c r="O430" s="238"/>
      <c r="P430" s="234"/>
      <c r="Q430" s="234"/>
      <c r="R430" s="234"/>
      <c r="S430" s="234"/>
    </row>
    <row r="431">
      <c r="A431" s="234"/>
      <c r="B431" s="234"/>
      <c r="C431" s="236"/>
      <c r="D431" s="234"/>
      <c r="E431" s="234"/>
      <c r="F431" s="234"/>
      <c r="G431" s="234"/>
      <c r="H431" s="234"/>
      <c r="I431" s="234"/>
      <c r="J431" s="234"/>
      <c r="K431" s="234"/>
      <c r="M431" s="234"/>
      <c r="N431" s="234"/>
      <c r="O431" s="238"/>
      <c r="P431" s="234"/>
      <c r="Q431" s="234"/>
      <c r="R431" s="234"/>
      <c r="S431" s="234"/>
    </row>
    <row r="432">
      <c r="A432" s="234"/>
      <c r="B432" s="234"/>
      <c r="C432" s="236"/>
      <c r="D432" s="234"/>
      <c r="E432" s="234"/>
      <c r="F432" s="234"/>
      <c r="G432" s="234"/>
      <c r="H432" s="234"/>
      <c r="I432" s="234"/>
      <c r="J432" s="234"/>
      <c r="K432" s="234"/>
      <c r="M432" s="234"/>
      <c r="N432" s="234"/>
      <c r="O432" s="238"/>
      <c r="P432" s="234"/>
      <c r="Q432" s="234"/>
      <c r="R432" s="234"/>
      <c r="S432" s="234"/>
    </row>
    <row r="433">
      <c r="A433" s="234"/>
      <c r="B433" s="234"/>
      <c r="C433" s="236"/>
      <c r="D433" s="234"/>
      <c r="E433" s="234"/>
      <c r="F433" s="234"/>
      <c r="G433" s="234"/>
      <c r="H433" s="234"/>
      <c r="I433" s="234"/>
      <c r="J433" s="234"/>
      <c r="K433" s="234"/>
      <c r="M433" s="234"/>
      <c r="N433" s="234"/>
      <c r="O433" s="238"/>
      <c r="P433" s="234"/>
      <c r="Q433" s="234"/>
      <c r="R433" s="234"/>
      <c r="S433" s="234"/>
    </row>
    <row r="434">
      <c r="A434" s="234"/>
      <c r="B434" s="234"/>
      <c r="C434" s="236"/>
      <c r="D434" s="234"/>
      <c r="E434" s="234"/>
      <c r="F434" s="234"/>
      <c r="G434" s="234"/>
      <c r="H434" s="234"/>
      <c r="I434" s="234"/>
      <c r="J434" s="234"/>
      <c r="K434" s="234"/>
      <c r="M434" s="234"/>
      <c r="N434" s="234"/>
      <c r="O434" s="238"/>
      <c r="P434" s="234"/>
      <c r="Q434" s="234"/>
      <c r="R434" s="234"/>
      <c r="S434" s="234"/>
    </row>
    <row r="435">
      <c r="A435" s="234"/>
      <c r="B435" s="234"/>
      <c r="C435" s="236"/>
      <c r="D435" s="234"/>
      <c r="E435" s="234"/>
      <c r="F435" s="234"/>
      <c r="G435" s="234"/>
      <c r="H435" s="234"/>
      <c r="I435" s="234"/>
      <c r="J435" s="234"/>
      <c r="K435" s="234"/>
      <c r="M435" s="234"/>
      <c r="N435" s="234"/>
      <c r="O435" s="238"/>
      <c r="P435" s="234"/>
      <c r="Q435" s="234"/>
      <c r="R435" s="234"/>
      <c r="S435" s="234"/>
    </row>
    <row r="436">
      <c r="A436" s="234"/>
      <c r="B436" s="234"/>
      <c r="C436" s="236"/>
      <c r="D436" s="234"/>
      <c r="E436" s="234"/>
      <c r="F436" s="234"/>
      <c r="G436" s="234"/>
      <c r="H436" s="234"/>
      <c r="I436" s="234"/>
      <c r="J436" s="234"/>
      <c r="K436" s="234"/>
      <c r="M436" s="234"/>
      <c r="N436" s="234"/>
      <c r="O436" s="238"/>
      <c r="P436" s="234"/>
      <c r="Q436" s="234"/>
      <c r="R436" s="234"/>
      <c r="S436" s="234"/>
    </row>
    <row r="437">
      <c r="A437" s="234"/>
      <c r="B437" s="234"/>
      <c r="C437" s="236"/>
      <c r="D437" s="234"/>
      <c r="E437" s="234"/>
      <c r="F437" s="234"/>
      <c r="G437" s="234"/>
      <c r="H437" s="234"/>
      <c r="I437" s="234"/>
      <c r="J437" s="234"/>
      <c r="K437" s="234"/>
      <c r="M437" s="234"/>
      <c r="N437" s="234"/>
      <c r="O437" s="238"/>
      <c r="P437" s="234"/>
      <c r="Q437" s="234"/>
      <c r="R437" s="234"/>
      <c r="S437" s="234"/>
    </row>
    <row r="438">
      <c r="A438" s="234"/>
      <c r="B438" s="234"/>
      <c r="C438" s="236"/>
      <c r="D438" s="234"/>
      <c r="E438" s="234"/>
      <c r="F438" s="234"/>
      <c r="G438" s="234"/>
      <c r="H438" s="234"/>
      <c r="I438" s="234"/>
      <c r="J438" s="234"/>
      <c r="K438" s="234"/>
      <c r="M438" s="234"/>
      <c r="N438" s="234"/>
      <c r="O438" s="238"/>
      <c r="P438" s="234"/>
      <c r="Q438" s="234"/>
      <c r="R438" s="234"/>
      <c r="S438" s="234"/>
    </row>
    <row r="439">
      <c r="A439" s="234"/>
      <c r="B439" s="234"/>
      <c r="C439" s="236"/>
      <c r="D439" s="234"/>
      <c r="E439" s="234"/>
      <c r="F439" s="234"/>
      <c r="G439" s="234"/>
      <c r="H439" s="234"/>
      <c r="I439" s="234"/>
      <c r="J439" s="234"/>
      <c r="K439" s="234"/>
      <c r="M439" s="234"/>
      <c r="N439" s="234"/>
      <c r="O439" s="238"/>
      <c r="P439" s="234"/>
      <c r="Q439" s="234"/>
      <c r="R439" s="234"/>
      <c r="S439" s="234"/>
    </row>
    <row r="440">
      <c r="A440" s="234"/>
      <c r="B440" s="234"/>
      <c r="C440" s="236"/>
      <c r="D440" s="234"/>
      <c r="E440" s="234"/>
      <c r="F440" s="234"/>
      <c r="G440" s="234"/>
      <c r="H440" s="234"/>
      <c r="I440" s="234"/>
      <c r="J440" s="234"/>
      <c r="K440" s="234"/>
      <c r="M440" s="234"/>
      <c r="N440" s="234"/>
      <c r="O440" s="238"/>
      <c r="P440" s="234"/>
      <c r="Q440" s="234"/>
      <c r="R440" s="234"/>
      <c r="S440" s="234"/>
    </row>
    <row r="441">
      <c r="A441" s="234"/>
      <c r="B441" s="234"/>
      <c r="C441" s="236"/>
      <c r="D441" s="234"/>
      <c r="E441" s="234"/>
      <c r="F441" s="234"/>
      <c r="G441" s="234"/>
      <c r="H441" s="234"/>
      <c r="I441" s="234"/>
      <c r="J441" s="234"/>
      <c r="K441" s="234"/>
      <c r="M441" s="234"/>
      <c r="N441" s="234"/>
      <c r="O441" s="238"/>
      <c r="P441" s="234"/>
      <c r="Q441" s="234"/>
      <c r="R441" s="234"/>
      <c r="S441" s="234"/>
    </row>
    <row r="442">
      <c r="A442" s="234"/>
      <c r="B442" s="234"/>
      <c r="C442" s="236"/>
      <c r="D442" s="234"/>
      <c r="E442" s="234"/>
      <c r="F442" s="234"/>
      <c r="G442" s="234"/>
      <c r="H442" s="234"/>
      <c r="I442" s="234"/>
      <c r="J442" s="234"/>
      <c r="K442" s="234"/>
      <c r="M442" s="234"/>
      <c r="N442" s="234"/>
      <c r="O442" s="238"/>
      <c r="P442" s="234"/>
      <c r="Q442" s="234"/>
      <c r="R442" s="234"/>
      <c r="S442" s="234"/>
    </row>
    <row r="443">
      <c r="A443" s="234"/>
      <c r="B443" s="234"/>
      <c r="C443" s="236"/>
      <c r="D443" s="234"/>
      <c r="E443" s="234"/>
      <c r="F443" s="234"/>
      <c r="G443" s="234"/>
      <c r="H443" s="234"/>
      <c r="I443" s="234"/>
      <c r="J443" s="234"/>
      <c r="K443" s="234"/>
      <c r="M443" s="234"/>
      <c r="N443" s="234"/>
      <c r="O443" s="238"/>
      <c r="P443" s="234"/>
      <c r="Q443" s="234"/>
      <c r="R443" s="234"/>
      <c r="S443" s="234"/>
    </row>
    <row r="444">
      <c r="A444" s="234"/>
      <c r="B444" s="234"/>
      <c r="C444" s="236"/>
      <c r="D444" s="234"/>
      <c r="E444" s="234"/>
      <c r="F444" s="234"/>
      <c r="G444" s="234"/>
      <c r="H444" s="234"/>
      <c r="I444" s="234"/>
      <c r="J444" s="234"/>
      <c r="K444" s="234"/>
      <c r="M444" s="234"/>
      <c r="N444" s="234"/>
      <c r="O444" s="238"/>
      <c r="P444" s="234"/>
      <c r="Q444" s="234"/>
      <c r="R444" s="234"/>
      <c r="S444" s="234"/>
    </row>
    <row r="445">
      <c r="A445" s="234"/>
      <c r="B445" s="234"/>
      <c r="C445" s="236"/>
      <c r="D445" s="234"/>
      <c r="E445" s="234"/>
      <c r="F445" s="234"/>
      <c r="G445" s="234"/>
      <c r="H445" s="234"/>
      <c r="I445" s="234"/>
      <c r="J445" s="234"/>
      <c r="K445" s="234"/>
      <c r="M445" s="234"/>
      <c r="N445" s="234"/>
      <c r="O445" s="238"/>
      <c r="P445" s="234"/>
      <c r="Q445" s="234"/>
      <c r="R445" s="234"/>
      <c r="S445" s="234"/>
    </row>
    <row r="446">
      <c r="A446" s="234"/>
      <c r="B446" s="234"/>
      <c r="C446" s="236"/>
      <c r="D446" s="234"/>
      <c r="E446" s="234"/>
      <c r="F446" s="234"/>
      <c r="G446" s="234"/>
      <c r="H446" s="234"/>
      <c r="I446" s="234"/>
      <c r="J446" s="234"/>
      <c r="K446" s="234"/>
      <c r="M446" s="234"/>
      <c r="N446" s="234"/>
      <c r="O446" s="238"/>
      <c r="P446" s="234"/>
      <c r="Q446" s="234"/>
      <c r="R446" s="234"/>
      <c r="S446" s="234"/>
    </row>
    <row r="447">
      <c r="A447" s="234"/>
      <c r="B447" s="234"/>
      <c r="C447" s="236"/>
      <c r="D447" s="234"/>
      <c r="E447" s="234"/>
      <c r="F447" s="234"/>
      <c r="G447" s="234"/>
      <c r="H447" s="234"/>
      <c r="I447" s="234"/>
      <c r="J447" s="234"/>
      <c r="K447" s="234"/>
      <c r="M447" s="234"/>
      <c r="N447" s="234"/>
      <c r="O447" s="238"/>
      <c r="P447" s="234"/>
      <c r="Q447" s="234"/>
      <c r="R447" s="234"/>
      <c r="S447" s="234"/>
    </row>
    <row r="448">
      <c r="A448" s="234"/>
      <c r="B448" s="234"/>
      <c r="C448" s="236"/>
      <c r="D448" s="234"/>
      <c r="E448" s="234"/>
      <c r="F448" s="234"/>
      <c r="G448" s="234"/>
      <c r="H448" s="234"/>
      <c r="I448" s="234"/>
      <c r="J448" s="234"/>
      <c r="K448" s="234"/>
      <c r="M448" s="234"/>
      <c r="N448" s="234"/>
      <c r="O448" s="238"/>
      <c r="P448" s="234"/>
      <c r="Q448" s="234"/>
      <c r="R448" s="234"/>
      <c r="S448" s="234"/>
    </row>
    <row r="449">
      <c r="A449" s="234"/>
      <c r="B449" s="234"/>
      <c r="C449" s="236"/>
      <c r="D449" s="234"/>
      <c r="E449" s="234"/>
      <c r="F449" s="234"/>
      <c r="G449" s="234"/>
      <c r="H449" s="234"/>
      <c r="I449" s="234"/>
      <c r="J449" s="234"/>
      <c r="K449" s="234"/>
      <c r="M449" s="234"/>
      <c r="N449" s="234"/>
      <c r="O449" s="238"/>
      <c r="P449" s="234"/>
      <c r="Q449" s="234"/>
      <c r="R449" s="234"/>
      <c r="S449" s="234"/>
    </row>
    <row r="450">
      <c r="A450" s="234"/>
      <c r="B450" s="234"/>
      <c r="C450" s="236"/>
      <c r="D450" s="234"/>
      <c r="E450" s="234"/>
      <c r="F450" s="234"/>
      <c r="G450" s="234"/>
      <c r="H450" s="234"/>
      <c r="I450" s="234"/>
      <c r="J450" s="234"/>
      <c r="K450" s="234"/>
      <c r="M450" s="234"/>
      <c r="N450" s="234"/>
      <c r="O450" s="238"/>
      <c r="P450" s="234"/>
      <c r="Q450" s="234"/>
      <c r="R450" s="234"/>
      <c r="S450" s="234"/>
    </row>
    <row r="451">
      <c r="A451" s="234"/>
      <c r="B451" s="234"/>
      <c r="C451" s="236"/>
      <c r="D451" s="234"/>
      <c r="E451" s="234"/>
      <c r="F451" s="234"/>
      <c r="G451" s="234"/>
      <c r="H451" s="234"/>
      <c r="I451" s="234"/>
      <c r="J451" s="234"/>
      <c r="K451" s="234"/>
      <c r="M451" s="234"/>
      <c r="N451" s="234"/>
      <c r="O451" s="238"/>
      <c r="P451" s="234"/>
      <c r="Q451" s="234"/>
      <c r="R451" s="234"/>
      <c r="S451" s="234"/>
    </row>
    <row r="452">
      <c r="A452" s="234"/>
      <c r="B452" s="234"/>
      <c r="C452" s="236"/>
      <c r="D452" s="234"/>
      <c r="E452" s="234"/>
      <c r="F452" s="234"/>
      <c r="G452" s="234"/>
      <c r="H452" s="234"/>
      <c r="I452" s="234"/>
      <c r="J452" s="234"/>
      <c r="K452" s="234"/>
      <c r="M452" s="234"/>
      <c r="N452" s="234"/>
      <c r="O452" s="238"/>
      <c r="P452" s="234"/>
      <c r="Q452" s="234"/>
      <c r="R452" s="234"/>
      <c r="S452" s="234"/>
    </row>
    <row r="453">
      <c r="A453" s="234"/>
      <c r="B453" s="234"/>
      <c r="C453" s="236"/>
      <c r="D453" s="234"/>
      <c r="E453" s="234"/>
      <c r="F453" s="234"/>
      <c r="G453" s="234"/>
      <c r="H453" s="234"/>
      <c r="I453" s="234"/>
      <c r="J453" s="234"/>
      <c r="K453" s="234"/>
      <c r="M453" s="234"/>
      <c r="N453" s="234"/>
      <c r="O453" s="238"/>
      <c r="P453" s="234"/>
      <c r="Q453" s="234"/>
      <c r="R453" s="234"/>
      <c r="S453" s="234"/>
    </row>
    <row r="454">
      <c r="A454" s="234"/>
      <c r="B454" s="234"/>
      <c r="C454" s="236"/>
      <c r="D454" s="234"/>
      <c r="E454" s="234"/>
      <c r="F454" s="234"/>
      <c r="G454" s="234"/>
      <c r="H454" s="234"/>
      <c r="I454" s="234"/>
      <c r="J454" s="234"/>
      <c r="K454" s="234"/>
      <c r="M454" s="234"/>
      <c r="N454" s="234"/>
      <c r="O454" s="238"/>
      <c r="P454" s="234"/>
      <c r="Q454" s="234"/>
      <c r="R454" s="234"/>
      <c r="S454" s="234"/>
    </row>
    <row r="455">
      <c r="A455" s="234"/>
      <c r="B455" s="234"/>
      <c r="C455" s="236"/>
      <c r="D455" s="234"/>
      <c r="E455" s="234"/>
      <c r="F455" s="234"/>
      <c r="G455" s="234"/>
      <c r="H455" s="234"/>
      <c r="I455" s="234"/>
      <c r="J455" s="234"/>
      <c r="K455" s="234"/>
      <c r="M455" s="234"/>
      <c r="N455" s="234"/>
      <c r="O455" s="238"/>
      <c r="P455" s="234"/>
      <c r="Q455" s="234"/>
      <c r="R455" s="234"/>
      <c r="S455" s="234"/>
    </row>
    <row r="456">
      <c r="A456" s="234"/>
      <c r="B456" s="234"/>
      <c r="C456" s="236"/>
      <c r="D456" s="234"/>
      <c r="E456" s="234"/>
      <c r="F456" s="234"/>
      <c r="G456" s="234"/>
      <c r="H456" s="234"/>
      <c r="I456" s="234"/>
      <c r="J456" s="234"/>
      <c r="K456" s="234"/>
      <c r="M456" s="234"/>
      <c r="N456" s="234"/>
      <c r="O456" s="238"/>
      <c r="P456" s="234"/>
      <c r="Q456" s="234"/>
      <c r="R456" s="234"/>
      <c r="S456" s="234"/>
    </row>
    <row r="457">
      <c r="A457" s="234"/>
      <c r="B457" s="234"/>
      <c r="C457" s="236"/>
      <c r="D457" s="234"/>
      <c r="E457" s="234"/>
      <c r="F457" s="234"/>
      <c r="G457" s="234"/>
      <c r="H457" s="234"/>
      <c r="I457" s="234"/>
      <c r="J457" s="234"/>
      <c r="K457" s="234"/>
      <c r="M457" s="234"/>
      <c r="N457" s="234"/>
      <c r="O457" s="238"/>
      <c r="P457" s="234"/>
      <c r="Q457" s="234"/>
      <c r="R457" s="234"/>
      <c r="S457" s="234"/>
    </row>
    <row r="458">
      <c r="A458" s="234"/>
      <c r="B458" s="234"/>
      <c r="C458" s="236"/>
      <c r="D458" s="234"/>
      <c r="E458" s="234"/>
      <c r="F458" s="234"/>
      <c r="G458" s="234"/>
      <c r="H458" s="234"/>
      <c r="I458" s="234"/>
      <c r="J458" s="234"/>
      <c r="K458" s="234"/>
      <c r="M458" s="234"/>
      <c r="N458" s="234"/>
      <c r="O458" s="238"/>
      <c r="P458" s="234"/>
      <c r="Q458" s="234"/>
      <c r="R458" s="234"/>
      <c r="S458" s="234"/>
    </row>
    <row r="459">
      <c r="A459" s="234"/>
      <c r="B459" s="234"/>
      <c r="C459" s="236"/>
      <c r="D459" s="234"/>
      <c r="E459" s="234"/>
      <c r="F459" s="234"/>
      <c r="G459" s="234"/>
      <c r="H459" s="234"/>
      <c r="I459" s="234"/>
      <c r="J459" s="234"/>
      <c r="K459" s="234"/>
      <c r="M459" s="234"/>
      <c r="N459" s="234"/>
      <c r="O459" s="238"/>
      <c r="P459" s="234"/>
      <c r="Q459" s="234"/>
      <c r="R459" s="234"/>
      <c r="S459" s="234"/>
    </row>
    <row r="460">
      <c r="A460" s="234"/>
      <c r="B460" s="234"/>
      <c r="C460" s="236"/>
      <c r="D460" s="234"/>
      <c r="E460" s="234"/>
      <c r="F460" s="234"/>
      <c r="G460" s="234"/>
      <c r="H460" s="234"/>
      <c r="I460" s="234"/>
      <c r="J460" s="234"/>
      <c r="K460" s="234"/>
      <c r="M460" s="234"/>
      <c r="N460" s="234"/>
      <c r="O460" s="238"/>
      <c r="P460" s="234"/>
      <c r="Q460" s="234"/>
      <c r="R460" s="234"/>
      <c r="S460" s="234"/>
    </row>
    <row r="461">
      <c r="A461" s="234"/>
      <c r="B461" s="234"/>
      <c r="C461" s="236"/>
      <c r="D461" s="234"/>
      <c r="E461" s="234"/>
      <c r="F461" s="234"/>
      <c r="G461" s="234"/>
      <c r="H461" s="234"/>
      <c r="I461" s="234"/>
      <c r="J461" s="234"/>
      <c r="K461" s="234"/>
      <c r="M461" s="234"/>
      <c r="N461" s="234"/>
      <c r="O461" s="238"/>
      <c r="P461" s="234"/>
      <c r="Q461" s="234"/>
      <c r="R461" s="234"/>
      <c r="S461" s="234"/>
    </row>
    <row r="462">
      <c r="A462" s="234"/>
      <c r="B462" s="234"/>
      <c r="C462" s="236"/>
      <c r="D462" s="234"/>
      <c r="E462" s="234"/>
      <c r="F462" s="234"/>
      <c r="G462" s="234"/>
      <c r="H462" s="234"/>
      <c r="I462" s="234"/>
      <c r="J462" s="234"/>
      <c r="K462" s="234"/>
      <c r="M462" s="234"/>
      <c r="N462" s="234"/>
      <c r="O462" s="238"/>
      <c r="P462" s="234"/>
      <c r="Q462" s="234"/>
      <c r="R462" s="234"/>
      <c r="S462" s="234"/>
    </row>
    <row r="463">
      <c r="A463" s="234"/>
      <c r="B463" s="234"/>
      <c r="C463" s="236"/>
      <c r="D463" s="234"/>
      <c r="E463" s="234"/>
      <c r="F463" s="234"/>
      <c r="G463" s="234"/>
      <c r="H463" s="234"/>
      <c r="I463" s="234"/>
      <c r="J463" s="234"/>
      <c r="K463" s="234"/>
      <c r="M463" s="234"/>
      <c r="N463" s="234"/>
      <c r="O463" s="238"/>
      <c r="P463" s="234"/>
      <c r="Q463" s="234"/>
      <c r="R463" s="234"/>
      <c r="S463" s="234"/>
    </row>
    <row r="464">
      <c r="A464" s="234"/>
      <c r="B464" s="234"/>
      <c r="C464" s="236"/>
      <c r="D464" s="234"/>
      <c r="E464" s="234"/>
      <c r="F464" s="234"/>
      <c r="G464" s="234"/>
      <c r="H464" s="234"/>
      <c r="I464" s="234"/>
      <c r="J464" s="234"/>
      <c r="K464" s="234"/>
      <c r="M464" s="234"/>
      <c r="N464" s="234"/>
      <c r="O464" s="238"/>
      <c r="P464" s="234"/>
      <c r="Q464" s="234"/>
      <c r="R464" s="234"/>
      <c r="S464" s="234"/>
    </row>
    <row r="465">
      <c r="A465" s="234"/>
      <c r="B465" s="234"/>
      <c r="C465" s="236"/>
      <c r="D465" s="234"/>
      <c r="E465" s="234"/>
      <c r="F465" s="234"/>
      <c r="G465" s="234"/>
      <c r="H465" s="234"/>
      <c r="I465" s="234"/>
      <c r="J465" s="234"/>
      <c r="K465" s="234"/>
      <c r="M465" s="234"/>
      <c r="N465" s="234"/>
      <c r="O465" s="238"/>
      <c r="P465" s="234"/>
      <c r="Q465" s="234"/>
      <c r="R465" s="234"/>
      <c r="S465" s="234"/>
    </row>
    <row r="466">
      <c r="A466" s="234"/>
      <c r="B466" s="234"/>
      <c r="C466" s="236"/>
      <c r="D466" s="234"/>
      <c r="E466" s="234"/>
      <c r="F466" s="234"/>
      <c r="G466" s="234"/>
      <c r="H466" s="234"/>
      <c r="I466" s="234"/>
      <c r="J466" s="234"/>
      <c r="K466" s="234"/>
      <c r="M466" s="234"/>
      <c r="N466" s="234"/>
      <c r="O466" s="238"/>
      <c r="P466" s="234"/>
      <c r="Q466" s="234"/>
      <c r="R466" s="234"/>
      <c r="S466" s="234"/>
    </row>
    <row r="467">
      <c r="A467" s="234"/>
      <c r="B467" s="234"/>
      <c r="C467" s="236"/>
      <c r="D467" s="234"/>
      <c r="E467" s="234"/>
      <c r="F467" s="234"/>
      <c r="G467" s="234"/>
      <c r="H467" s="234"/>
      <c r="I467" s="234"/>
      <c r="J467" s="234"/>
      <c r="K467" s="234"/>
      <c r="M467" s="234"/>
      <c r="N467" s="234"/>
      <c r="O467" s="238"/>
      <c r="P467" s="234"/>
      <c r="Q467" s="234"/>
      <c r="R467" s="234"/>
      <c r="S467" s="234"/>
    </row>
    <row r="468">
      <c r="A468" s="234"/>
      <c r="B468" s="234"/>
      <c r="C468" s="236"/>
      <c r="D468" s="234"/>
      <c r="E468" s="234"/>
      <c r="F468" s="234"/>
      <c r="G468" s="234"/>
      <c r="H468" s="234"/>
      <c r="I468" s="234"/>
      <c r="J468" s="234"/>
      <c r="K468" s="234"/>
      <c r="M468" s="234"/>
      <c r="N468" s="234"/>
      <c r="O468" s="238"/>
      <c r="P468" s="234"/>
      <c r="Q468" s="234"/>
      <c r="R468" s="234"/>
      <c r="S468" s="234"/>
    </row>
    <row r="469">
      <c r="A469" s="234"/>
      <c r="B469" s="234"/>
      <c r="C469" s="236"/>
      <c r="D469" s="234"/>
      <c r="E469" s="234"/>
      <c r="F469" s="234"/>
      <c r="G469" s="234"/>
      <c r="H469" s="234"/>
      <c r="I469" s="234"/>
      <c r="J469" s="234"/>
      <c r="K469" s="234"/>
      <c r="M469" s="234"/>
      <c r="N469" s="234"/>
      <c r="O469" s="238"/>
      <c r="P469" s="234"/>
      <c r="Q469" s="234"/>
      <c r="R469" s="234"/>
      <c r="S469" s="234"/>
    </row>
    <row r="470">
      <c r="A470" s="234"/>
      <c r="B470" s="234"/>
      <c r="C470" s="236"/>
      <c r="D470" s="234"/>
      <c r="E470" s="234"/>
      <c r="F470" s="234"/>
      <c r="G470" s="234"/>
      <c r="H470" s="234"/>
      <c r="I470" s="234"/>
      <c r="J470" s="234"/>
      <c r="K470" s="234"/>
      <c r="M470" s="234"/>
      <c r="N470" s="234"/>
      <c r="O470" s="238"/>
      <c r="P470" s="234"/>
      <c r="Q470" s="234"/>
      <c r="R470" s="234"/>
      <c r="S470" s="234"/>
    </row>
    <row r="471">
      <c r="A471" s="234"/>
      <c r="B471" s="234"/>
      <c r="C471" s="236"/>
      <c r="D471" s="234"/>
      <c r="E471" s="234"/>
      <c r="F471" s="234"/>
      <c r="G471" s="234"/>
      <c r="H471" s="234"/>
      <c r="I471" s="234"/>
      <c r="J471" s="234"/>
      <c r="K471" s="234"/>
      <c r="M471" s="234"/>
      <c r="N471" s="234"/>
      <c r="O471" s="238"/>
      <c r="P471" s="234"/>
      <c r="Q471" s="234"/>
      <c r="R471" s="234"/>
      <c r="S471" s="234"/>
    </row>
    <row r="472">
      <c r="A472" s="234"/>
      <c r="B472" s="234"/>
      <c r="C472" s="236"/>
      <c r="D472" s="234"/>
      <c r="E472" s="234"/>
      <c r="F472" s="234"/>
      <c r="G472" s="234"/>
      <c r="H472" s="234"/>
      <c r="I472" s="234"/>
      <c r="J472" s="234"/>
      <c r="K472" s="234"/>
      <c r="M472" s="234"/>
      <c r="N472" s="234"/>
      <c r="O472" s="238"/>
      <c r="P472" s="234"/>
      <c r="Q472" s="234"/>
      <c r="R472" s="234"/>
      <c r="S472" s="234"/>
    </row>
    <row r="473">
      <c r="A473" s="234"/>
      <c r="B473" s="234"/>
      <c r="C473" s="236"/>
      <c r="D473" s="234"/>
      <c r="E473" s="234"/>
      <c r="F473" s="234"/>
      <c r="G473" s="234"/>
      <c r="H473" s="234"/>
      <c r="I473" s="234"/>
      <c r="J473" s="234"/>
      <c r="K473" s="234"/>
      <c r="M473" s="234"/>
      <c r="N473" s="234"/>
      <c r="O473" s="238"/>
      <c r="P473" s="234"/>
      <c r="Q473" s="234"/>
      <c r="R473" s="234"/>
      <c r="S473" s="234"/>
    </row>
    <row r="474">
      <c r="A474" s="234"/>
      <c r="B474" s="234"/>
      <c r="C474" s="236"/>
      <c r="D474" s="234"/>
      <c r="E474" s="234"/>
      <c r="F474" s="234"/>
      <c r="G474" s="234"/>
      <c r="H474" s="234"/>
      <c r="I474" s="234"/>
      <c r="J474" s="234"/>
      <c r="K474" s="234"/>
      <c r="M474" s="234"/>
      <c r="N474" s="234"/>
      <c r="O474" s="238"/>
      <c r="P474" s="234"/>
      <c r="Q474" s="234"/>
      <c r="R474" s="234"/>
      <c r="S474" s="234"/>
    </row>
    <row r="475">
      <c r="A475" s="234"/>
      <c r="B475" s="234"/>
      <c r="C475" s="236"/>
      <c r="D475" s="234"/>
      <c r="E475" s="234"/>
      <c r="F475" s="234"/>
      <c r="G475" s="234"/>
      <c r="H475" s="234"/>
      <c r="I475" s="234"/>
      <c r="J475" s="234"/>
      <c r="K475" s="234"/>
      <c r="M475" s="234"/>
      <c r="N475" s="234"/>
      <c r="O475" s="238"/>
      <c r="P475" s="234"/>
      <c r="Q475" s="234"/>
      <c r="R475" s="234"/>
      <c r="S475" s="234"/>
    </row>
    <row r="476">
      <c r="A476" s="234"/>
      <c r="B476" s="234"/>
      <c r="C476" s="236"/>
      <c r="D476" s="234"/>
      <c r="E476" s="234"/>
      <c r="F476" s="234"/>
      <c r="G476" s="234"/>
      <c r="H476" s="234"/>
      <c r="I476" s="234"/>
      <c r="J476" s="234"/>
      <c r="K476" s="234"/>
      <c r="M476" s="234"/>
      <c r="N476" s="234"/>
      <c r="O476" s="238"/>
      <c r="P476" s="234"/>
      <c r="Q476" s="234"/>
      <c r="R476" s="234"/>
      <c r="S476" s="234"/>
    </row>
    <row r="477">
      <c r="A477" s="234"/>
      <c r="B477" s="234"/>
      <c r="C477" s="236"/>
      <c r="D477" s="234"/>
      <c r="E477" s="234"/>
      <c r="F477" s="234"/>
      <c r="G477" s="234"/>
      <c r="H477" s="234"/>
      <c r="I477" s="234"/>
      <c r="J477" s="234"/>
      <c r="K477" s="234"/>
      <c r="M477" s="234"/>
      <c r="N477" s="234"/>
      <c r="O477" s="238"/>
      <c r="P477" s="234"/>
      <c r="Q477" s="234"/>
      <c r="R477" s="234"/>
      <c r="S477" s="234"/>
    </row>
    <row r="478">
      <c r="A478" s="234"/>
      <c r="B478" s="234"/>
      <c r="C478" s="236"/>
      <c r="D478" s="234"/>
      <c r="E478" s="234"/>
      <c r="F478" s="234"/>
      <c r="G478" s="234"/>
      <c r="H478" s="234"/>
      <c r="I478" s="234"/>
      <c r="J478" s="234"/>
      <c r="K478" s="234"/>
      <c r="M478" s="234"/>
      <c r="N478" s="234"/>
      <c r="O478" s="238"/>
      <c r="P478" s="234"/>
      <c r="Q478" s="234"/>
      <c r="R478" s="234"/>
      <c r="S478" s="234"/>
    </row>
    <row r="479">
      <c r="A479" s="234"/>
      <c r="B479" s="234"/>
      <c r="C479" s="236"/>
      <c r="D479" s="234"/>
      <c r="E479" s="234"/>
      <c r="F479" s="234"/>
      <c r="G479" s="234"/>
      <c r="H479" s="234"/>
      <c r="I479" s="234"/>
      <c r="J479" s="234"/>
      <c r="K479" s="234"/>
      <c r="M479" s="234"/>
      <c r="N479" s="234"/>
      <c r="O479" s="238"/>
      <c r="P479" s="234"/>
      <c r="Q479" s="234"/>
      <c r="R479" s="234"/>
      <c r="S479" s="234"/>
    </row>
    <row r="480">
      <c r="A480" s="234"/>
      <c r="B480" s="234"/>
      <c r="C480" s="236"/>
      <c r="D480" s="234"/>
      <c r="E480" s="234"/>
      <c r="F480" s="234"/>
      <c r="G480" s="234"/>
      <c r="H480" s="234"/>
      <c r="I480" s="234"/>
      <c r="J480" s="234"/>
      <c r="K480" s="234"/>
      <c r="M480" s="234"/>
      <c r="N480" s="234"/>
      <c r="O480" s="238"/>
      <c r="P480" s="234"/>
      <c r="Q480" s="234"/>
      <c r="R480" s="234"/>
      <c r="S480" s="234"/>
    </row>
    <row r="481">
      <c r="A481" s="234"/>
      <c r="B481" s="234"/>
      <c r="C481" s="236"/>
      <c r="D481" s="234"/>
      <c r="E481" s="234"/>
      <c r="F481" s="234"/>
      <c r="G481" s="234"/>
      <c r="H481" s="234"/>
      <c r="I481" s="234"/>
      <c r="J481" s="234"/>
      <c r="K481" s="234"/>
      <c r="M481" s="234"/>
      <c r="N481" s="234"/>
      <c r="O481" s="238"/>
      <c r="P481" s="234"/>
      <c r="Q481" s="234"/>
      <c r="R481" s="234"/>
      <c r="S481" s="234"/>
    </row>
    <row r="482">
      <c r="A482" s="234"/>
      <c r="B482" s="234"/>
      <c r="C482" s="236"/>
      <c r="D482" s="234"/>
      <c r="E482" s="234"/>
      <c r="F482" s="234"/>
      <c r="G482" s="234"/>
      <c r="H482" s="234"/>
      <c r="I482" s="234"/>
      <c r="J482" s="234"/>
      <c r="K482" s="234"/>
      <c r="M482" s="234"/>
      <c r="N482" s="234"/>
      <c r="O482" s="238"/>
      <c r="P482" s="234"/>
      <c r="Q482" s="234"/>
      <c r="R482" s="234"/>
      <c r="S482" s="234"/>
    </row>
    <row r="483">
      <c r="A483" s="234"/>
      <c r="B483" s="234"/>
      <c r="C483" s="236"/>
      <c r="D483" s="234"/>
      <c r="E483" s="234"/>
      <c r="F483" s="234"/>
      <c r="G483" s="234"/>
      <c r="H483" s="234"/>
      <c r="I483" s="234"/>
      <c r="J483" s="234"/>
      <c r="K483" s="234"/>
      <c r="M483" s="234"/>
      <c r="N483" s="234"/>
      <c r="O483" s="238"/>
      <c r="P483" s="234"/>
      <c r="Q483" s="234"/>
      <c r="R483" s="234"/>
      <c r="S483" s="234"/>
    </row>
    <row r="484">
      <c r="A484" s="234"/>
      <c r="B484" s="234"/>
      <c r="C484" s="236"/>
      <c r="D484" s="234"/>
      <c r="E484" s="234"/>
      <c r="F484" s="234"/>
      <c r="G484" s="234"/>
      <c r="H484" s="234"/>
      <c r="I484" s="234"/>
      <c r="J484" s="234"/>
      <c r="K484" s="234"/>
      <c r="M484" s="234"/>
      <c r="N484" s="234"/>
      <c r="O484" s="238"/>
      <c r="P484" s="234"/>
      <c r="Q484" s="234"/>
      <c r="R484" s="234"/>
      <c r="S484" s="234"/>
    </row>
    <row r="485">
      <c r="A485" s="234"/>
      <c r="B485" s="234"/>
      <c r="C485" s="236"/>
      <c r="D485" s="234"/>
      <c r="E485" s="234"/>
      <c r="F485" s="234"/>
      <c r="G485" s="234"/>
      <c r="H485" s="234"/>
      <c r="I485" s="234"/>
      <c r="J485" s="234"/>
      <c r="K485" s="234"/>
      <c r="M485" s="234"/>
      <c r="N485" s="234"/>
      <c r="O485" s="238"/>
      <c r="P485" s="234"/>
      <c r="Q485" s="234"/>
      <c r="R485" s="234"/>
      <c r="S485" s="234"/>
    </row>
    <row r="486">
      <c r="A486" s="234"/>
      <c r="B486" s="234"/>
      <c r="C486" s="236"/>
      <c r="D486" s="234"/>
      <c r="E486" s="234"/>
      <c r="F486" s="234"/>
      <c r="G486" s="234"/>
      <c r="H486" s="234"/>
      <c r="I486" s="234"/>
      <c r="J486" s="234"/>
      <c r="K486" s="234"/>
      <c r="M486" s="234"/>
      <c r="N486" s="234"/>
      <c r="O486" s="238"/>
      <c r="P486" s="234"/>
      <c r="Q486" s="234"/>
      <c r="R486" s="234"/>
      <c r="S486" s="234"/>
    </row>
    <row r="487">
      <c r="A487" s="234"/>
      <c r="B487" s="234"/>
      <c r="C487" s="236"/>
      <c r="D487" s="234"/>
      <c r="E487" s="234"/>
      <c r="F487" s="234"/>
      <c r="G487" s="234"/>
      <c r="H487" s="234"/>
      <c r="I487" s="234"/>
      <c r="J487" s="234"/>
      <c r="K487" s="234"/>
      <c r="M487" s="234"/>
      <c r="N487" s="234"/>
      <c r="O487" s="238"/>
      <c r="P487" s="234"/>
      <c r="Q487" s="234"/>
      <c r="R487" s="234"/>
      <c r="S487" s="234"/>
    </row>
    <row r="488">
      <c r="A488" s="234"/>
      <c r="B488" s="234"/>
      <c r="C488" s="236"/>
      <c r="D488" s="234"/>
      <c r="E488" s="234"/>
      <c r="F488" s="234"/>
      <c r="G488" s="234"/>
      <c r="H488" s="234"/>
      <c r="I488" s="234"/>
      <c r="J488" s="234"/>
      <c r="K488" s="234"/>
      <c r="M488" s="234"/>
      <c r="N488" s="234"/>
      <c r="O488" s="238"/>
      <c r="P488" s="234"/>
      <c r="Q488" s="234"/>
      <c r="R488" s="234"/>
      <c r="S488" s="234"/>
    </row>
    <row r="489">
      <c r="A489" s="234"/>
      <c r="B489" s="234"/>
      <c r="C489" s="236"/>
      <c r="D489" s="234"/>
      <c r="E489" s="234"/>
      <c r="F489" s="234"/>
      <c r="G489" s="234"/>
      <c r="H489" s="234"/>
      <c r="I489" s="234"/>
      <c r="J489" s="234"/>
      <c r="K489" s="234"/>
      <c r="M489" s="234"/>
      <c r="N489" s="234"/>
      <c r="O489" s="238"/>
      <c r="P489" s="234"/>
      <c r="Q489" s="234"/>
      <c r="R489" s="234"/>
      <c r="S489" s="234"/>
    </row>
    <row r="490">
      <c r="A490" s="234"/>
      <c r="B490" s="234"/>
      <c r="C490" s="236"/>
      <c r="D490" s="234"/>
      <c r="E490" s="234"/>
      <c r="F490" s="234"/>
      <c r="G490" s="234"/>
      <c r="H490" s="234"/>
      <c r="I490" s="234"/>
      <c r="J490" s="234"/>
      <c r="K490" s="234"/>
      <c r="M490" s="234"/>
      <c r="N490" s="234"/>
      <c r="O490" s="238"/>
      <c r="P490" s="234"/>
      <c r="Q490" s="234"/>
      <c r="R490" s="234"/>
      <c r="S490" s="234"/>
    </row>
    <row r="491">
      <c r="A491" s="234"/>
      <c r="B491" s="234"/>
      <c r="C491" s="236"/>
      <c r="D491" s="234"/>
      <c r="E491" s="234"/>
      <c r="F491" s="234"/>
      <c r="G491" s="234"/>
      <c r="H491" s="234"/>
      <c r="I491" s="234"/>
      <c r="J491" s="234"/>
      <c r="K491" s="234"/>
      <c r="M491" s="234"/>
      <c r="N491" s="234"/>
      <c r="O491" s="238"/>
      <c r="P491" s="234"/>
      <c r="Q491" s="234"/>
      <c r="R491" s="234"/>
      <c r="S491" s="234"/>
    </row>
    <row r="492">
      <c r="A492" s="234"/>
      <c r="B492" s="234"/>
      <c r="C492" s="236"/>
      <c r="D492" s="234"/>
      <c r="E492" s="234"/>
      <c r="F492" s="234"/>
      <c r="G492" s="234"/>
      <c r="H492" s="234"/>
      <c r="I492" s="234"/>
      <c r="J492" s="234"/>
      <c r="K492" s="234"/>
      <c r="M492" s="234"/>
      <c r="N492" s="234"/>
      <c r="O492" s="238"/>
      <c r="P492" s="234"/>
      <c r="Q492" s="234"/>
      <c r="R492" s="234"/>
      <c r="S492" s="234"/>
    </row>
    <row r="493">
      <c r="A493" s="234"/>
      <c r="B493" s="234"/>
      <c r="C493" s="236"/>
      <c r="D493" s="234"/>
      <c r="E493" s="234"/>
      <c r="F493" s="234"/>
      <c r="G493" s="234"/>
      <c r="H493" s="234"/>
      <c r="I493" s="234"/>
      <c r="J493" s="234"/>
      <c r="K493" s="234"/>
      <c r="M493" s="234"/>
      <c r="N493" s="234"/>
      <c r="O493" s="238"/>
      <c r="P493" s="234"/>
      <c r="Q493" s="234"/>
      <c r="R493" s="234"/>
      <c r="S493" s="234"/>
    </row>
    <row r="494">
      <c r="A494" s="234"/>
      <c r="B494" s="234"/>
      <c r="C494" s="236"/>
      <c r="D494" s="234"/>
      <c r="E494" s="234"/>
      <c r="F494" s="234"/>
      <c r="G494" s="234"/>
      <c r="H494" s="234"/>
      <c r="I494" s="234"/>
      <c r="J494" s="234"/>
      <c r="K494" s="234"/>
      <c r="M494" s="234"/>
      <c r="N494" s="234"/>
      <c r="O494" s="238"/>
      <c r="P494" s="234"/>
      <c r="Q494" s="234"/>
      <c r="R494" s="234"/>
      <c r="S494" s="234"/>
    </row>
    <row r="495">
      <c r="A495" s="234"/>
      <c r="B495" s="234"/>
      <c r="C495" s="236"/>
      <c r="D495" s="234"/>
      <c r="E495" s="234"/>
      <c r="F495" s="234"/>
      <c r="G495" s="234"/>
      <c r="H495" s="234"/>
      <c r="I495" s="234"/>
      <c r="J495" s="234"/>
      <c r="K495" s="234"/>
      <c r="M495" s="234"/>
      <c r="N495" s="234"/>
      <c r="O495" s="238"/>
      <c r="P495" s="234"/>
      <c r="Q495" s="234"/>
      <c r="R495" s="234"/>
      <c r="S495" s="234"/>
    </row>
    <row r="496">
      <c r="A496" s="234"/>
      <c r="B496" s="234"/>
      <c r="C496" s="236"/>
      <c r="D496" s="234"/>
      <c r="E496" s="234"/>
      <c r="F496" s="234"/>
      <c r="G496" s="234"/>
      <c r="H496" s="234"/>
      <c r="I496" s="234"/>
      <c r="J496" s="234"/>
      <c r="K496" s="234"/>
      <c r="M496" s="234"/>
      <c r="N496" s="234"/>
      <c r="O496" s="238"/>
      <c r="P496" s="234"/>
      <c r="Q496" s="234"/>
      <c r="R496" s="234"/>
      <c r="S496" s="234"/>
    </row>
    <row r="497">
      <c r="A497" s="234"/>
      <c r="B497" s="234"/>
      <c r="C497" s="236"/>
      <c r="D497" s="234"/>
      <c r="E497" s="234"/>
      <c r="F497" s="234"/>
      <c r="G497" s="234"/>
      <c r="H497" s="234"/>
      <c r="I497" s="234"/>
      <c r="J497" s="234"/>
      <c r="K497" s="234"/>
      <c r="M497" s="234"/>
      <c r="N497" s="234"/>
      <c r="O497" s="238"/>
      <c r="P497" s="234"/>
      <c r="Q497" s="234"/>
      <c r="R497" s="234"/>
      <c r="S497" s="234"/>
    </row>
    <row r="498">
      <c r="A498" s="234"/>
      <c r="B498" s="234"/>
      <c r="C498" s="236"/>
      <c r="D498" s="234"/>
      <c r="E498" s="234"/>
      <c r="F498" s="234"/>
      <c r="G498" s="234"/>
      <c r="H498" s="234"/>
      <c r="I498" s="234"/>
      <c r="J498" s="234"/>
      <c r="K498" s="234"/>
      <c r="M498" s="234"/>
      <c r="N498" s="234"/>
      <c r="O498" s="238"/>
      <c r="P498" s="234"/>
      <c r="Q498" s="234"/>
      <c r="R498" s="234"/>
      <c r="S498" s="234"/>
    </row>
    <row r="499">
      <c r="A499" s="234"/>
      <c r="B499" s="234"/>
      <c r="C499" s="236"/>
      <c r="D499" s="234"/>
      <c r="E499" s="234"/>
      <c r="F499" s="234"/>
      <c r="G499" s="234"/>
      <c r="H499" s="234"/>
      <c r="I499" s="234"/>
      <c r="J499" s="234"/>
      <c r="K499" s="234"/>
      <c r="M499" s="234"/>
      <c r="N499" s="234"/>
      <c r="O499" s="238"/>
      <c r="P499" s="234"/>
      <c r="Q499" s="234"/>
      <c r="R499" s="234"/>
      <c r="S499" s="234"/>
    </row>
    <row r="500">
      <c r="A500" s="234"/>
      <c r="B500" s="234"/>
      <c r="C500" s="236"/>
      <c r="D500" s="234"/>
      <c r="E500" s="234"/>
      <c r="F500" s="234"/>
      <c r="G500" s="234"/>
      <c r="H500" s="234"/>
      <c r="I500" s="234"/>
      <c r="J500" s="234"/>
      <c r="K500" s="234"/>
      <c r="M500" s="234"/>
      <c r="N500" s="234"/>
      <c r="O500" s="238"/>
      <c r="P500" s="234"/>
      <c r="Q500" s="234"/>
      <c r="R500" s="234"/>
      <c r="S500" s="234"/>
    </row>
    <row r="501">
      <c r="A501" s="234"/>
      <c r="B501" s="234"/>
      <c r="C501" s="236"/>
      <c r="D501" s="234"/>
      <c r="E501" s="234"/>
      <c r="F501" s="234"/>
      <c r="G501" s="234"/>
      <c r="H501" s="234"/>
      <c r="I501" s="234"/>
      <c r="J501" s="234"/>
      <c r="K501" s="234"/>
      <c r="M501" s="234"/>
      <c r="N501" s="234"/>
      <c r="O501" s="238"/>
      <c r="P501" s="234"/>
      <c r="Q501" s="234"/>
      <c r="R501" s="234"/>
      <c r="S501" s="234"/>
    </row>
    <row r="502">
      <c r="A502" s="234"/>
      <c r="B502" s="234"/>
      <c r="C502" s="236"/>
      <c r="D502" s="234"/>
      <c r="E502" s="234"/>
      <c r="F502" s="234"/>
      <c r="G502" s="234"/>
      <c r="H502" s="234"/>
      <c r="I502" s="234"/>
      <c r="J502" s="234"/>
      <c r="K502" s="234"/>
      <c r="M502" s="234"/>
      <c r="N502" s="234"/>
      <c r="O502" s="238"/>
      <c r="P502" s="234"/>
      <c r="Q502" s="234"/>
      <c r="R502" s="234"/>
      <c r="S502" s="234"/>
    </row>
    <row r="503">
      <c r="A503" s="234"/>
      <c r="B503" s="234"/>
      <c r="C503" s="236"/>
      <c r="D503" s="234"/>
      <c r="E503" s="234"/>
      <c r="F503" s="234"/>
      <c r="G503" s="234"/>
      <c r="H503" s="234"/>
      <c r="I503" s="234"/>
      <c r="J503" s="234"/>
      <c r="K503" s="234"/>
      <c r="M503" s="234"/>
      <c r="N503" s="234"/>
      <c r="O503" s="238"/>
      <c r="P503" s="234"/>
      <c r="Q503" s="234"/>
      <c r="R503" s="234"/>
      <c r="S503" s="234"/>
    </row>
    <row r="504">
      <c r="A504" s="234"/>
      <c r="B504" s="234"/>
      <c r="C504" s="236"/>
      <c r="D504" s="234"/>
      <c r="E504" s="234"/>
      <c r="F504" s="234"/>
      <c r="G504" s="234"/>
      <c r="H504" s="234"/>
      <c r="I504" s="234"/>
      <c r="J504" s="234"/>
      <c r="K504" s="234"/>
      <c r="M504" s="234"/>
      <c r="N504" s="234"/>
      <c r="O504" s="238"/>
      <c r="P504" s="234"/>
      <c r="Q504" s="234"/>
      <c r="R504" s="234"/>
      <c r="S504" s="234"/>
    </row>
    <row r="505">
      <c r="A505" s="234"/>
      <c r="B505" s="234"/>
      <c r="C505" s="236"/>
      <c r="D505" s="234"/>
      <c r="E505" s="234"/>
      <c r="F505" s="234"/>
      <c r="G505" s="234"/>
      <c r="H505" s="234"/>
      <c r="I505" s="234"/>
      <c r="J505" s="234"/>
      <c r="K505" s="234"/>
      <c r="M505" s="234"/>
      <c r="N505" s="234"/>
      <c r="O505" s="238"/>
      <c r="P505" s="234"/>
      <c r="Q505" s="234"/>
      <c r="R505" s="234"/>
      <c r="S505" s="234"/>
    </row>
    <row r="506">
      <c r="A506" s="234"/>
      <c r="B506" s="234"/>
      <c r="C506" s="236"/>
      <c r="D506" s="234"/>
      <c r="E506" s="234"/>
      <c r="F506" s="234"/>
      <c r="G506" s="234"/>
      <c r="H506" s="234"/>
      <c r="I506" s="234"/>
      <c r="J506" s="234"/>
      <c r="K506" s="234"/>
      <c r="M506" s="234"/>
      <c r="N506" s="234"/>
      <c r="O506" s="238"/>
      <c r="P506" s="234"/>
      <c r="Q506" s="234"/>
      <c r="R506" s="234"/>
      <c r="S506" s="234"/>
    </row>
    <row r="507">
      <c r="A507" s="234"/>
      <c r="B507" s="234"/>
      <c r="C507" s="236"/>
      <c r="D507" s="234"/>
      <c r="E507" s="234"/>
      <c r="F507" s="234"/>
      <c r="G507" s="234"/>
      <c r="H507" s="234"/>
      <c r="I507" s="234"/>
      <c r="J507" s="234"/>
      <c r="K507" s="234"/>
      <c r="M507" s="234"/>
      <c r="N507" s="234"/>
      <c r="O507" s="238"/>
      <c r="P507" s="234"/>
      <c r="Q507" s="234"/>
      <c r="R507" s="234"/>
      <c r="S507" s="234"/>
    </row>
    <row r="508">
      <c r="A508" s="234"/>
      <c r="B508" s="234"/>
      <c r="C508" s="236"/>
      <c r="D508" s="234"/>
      <c r="E508" s="234"/>
      <c r="F508" s="234"/>
      <c r="G508" s="234"/>
      <c r="H508" s="234"/>
      <c r="I508" s="234"/>
      <c r="J508" s="234"/>
      <c r="K508" s="234"/>
      <c r="M508" s="234"/>
      <c r="N508" s="234"/>
      <c r="O508" s="238"/>
      <c r="P508" s="234"/>
      <c r="Q508" s="234"/>
      <c r="R508" s="234"/>
      <c r="S508" s="234"/>
    </row>
    <row r="509">
      <c r="A509" s="234"/>
      <c r="B509" s="234"/>
      <c r="C509" s="236"/>
      <c r="D509" s="234"/>
      <c r="E509" s="234"/>
      <c r="F509" s="234"/>
      <c r="G509" s="234"/>
      <c r="H509" s="234"/>
      <c r="I509" s="234"/>
      <c r="J509" s="234"/>
      <c r="K509" s="234"/>
      <c r="M509" s="234"/>
      <c r="N509" s="234"/>
      <c r="O509" s="238"/>
      <c r="P509" s="234"/>
      <c r="Q509" s="234"/>
      <c r="R509" s="234"/>
      <c r="S509" s="234"/>
    </row>
    <row r="510">
      <c r="A510" s="234"/>
      <c r="B510" s="234"/>
      <c r="C510" s="236"/>
      <c r="D510" s="234"/>
      <c r="E510" s="234"/>
      <c r="F510" s="234"/>
      <c r="G510" s="234"/>
      <c r="H510" s="234"/>
      <c r="I510" s="234"/>
      <c r="J510" s="234"/>
      <c r="K510" s="234"/>
      <c r="M510" s="234"/>
      <c r="N510" s="234"/>
      <c r="O510" s="238"/>
      <c r="P510" s="234"/>
      <c r="Q510" s="234"/>
      <c r="R510" s="234"/>
      <c r="S510" s="234"/>
    </row>
    <row r="511">
      <c r="A511" s="234"/>
      <c r="B511" s="234"/>
      <c r="C511" s="236"/>
      <c r="D511" s="234"/>
      <c r="E511" s="234"/>
      <c r="F511" s="234"/>
      <c r="G511" s="234"/>
      <c r="H511" s="234"/>
      <c r="I511" s="234"/>
      <c r="J511" s="234"/>
      <c r="K511" s="234"/>
      <c r="M511" s="234"/>
      <c r="N511" s="234"/>
      <c r="O511" s="238"/>
      <c r="P511" s="234"/>
      <c r="Q511" s="234"/>
      <c r="R511" s="234"/>
      <c r="S511" s="234"/>
    </row>
    <row r="512">
      <c r="A512" s="234"/>
      <c r="B512" s="234"/>
      <c r="C512" s="236"/>
      <c r="D512" s="234"/>
      <c r="E512" s="234"/>
      <c r="F512" s="234"/>
      <c r="G512" s="234"/>
      <c r="H512" s="234"/>
      <c r="I512" s="234"/>
      <c r="J512" s="234"/>
      <c r="K512" s="234"/>
      <c r="M512" s="234"/>
      <c r="N512" s="234"/>
      <c r="O512" s="238"/>
      <c r="P512" s="234"/>
      <c r="Q512" s="234"/>
      <c r="R512" s="234"/>
      <c r="S512" s="234"/>
    </row>
    <row r="513">
      <c r="A513" s="234"/>
      <c r="B513" s="234"/>
      <c r="C513" s="236"/>
      <c r="D513" s="234"/>
      <c r="E513" s="234"/>
      <c r="F513" s="234"/>
      <c r="G513" s="234"/>
      <c r="H513" s="234"/>
      <c r="I513" s="234"/>
      <c r="J513" s="234"/>
      <c r="K513" s="234"/>
      <c r="M513" s="234"/>
      <c r="N513" s="234"/>
      <c r="O513" s="238"/>
      <c r="P513" s="234"/>
      <c r="Q513" s="234"/>
      <c r="R513" s="234"/>
      <c r="S513" s="234"/>
    </row>
    <row r="514">
      <c r="A514" s="234"/>
      <c r="B514" s="234"/>
      <c r="C514" s="236"/>
      <c r="D514" s="234"/>
      <c r="E514" s="234"/>
      <c r="F514" s="234"/>
      <c r="G514" s="234"/>
      <c r="H514" s="234"/>
      <c r="I514" s="234"/>
      <c r="J514" s="234"/>
      <c r="K514" s="234"/>
      <c r="M514" s="234"/>
      <c r="N514" s="234"/>
      <c r="O514" s="238"/>
      <c r="P514" s="234"/>
      <c r="Q514" s="234"/>
      <c r="R514" s="234"/>
      <c r="S514" s="234"/>
    </row>
    <row r="515">
      <c r="A515" s="234"/>
      <c r="B515" s="234"/>
      <c r="C515" s="236"/>
      <c r="D515" s="234"/>
      <c r="E515" s="234"/>
      <c r="F515" s="234"/>
      <c r="G515" s="234"/>
      <c r="H515" s="234"/>
      <c r="I515" s="234"/>
      <c r="J515" s="234"/>
      <c r="K515" s="234"/>
      <c r="M515" s="234"/>
      <c r="N515" s="234"/>
      <c r="O515" s="238"/>
      <c r="P515" s="234"/>
      <c r="Q515" s="234"/>
      <c r="R515" s="234"/>
      <c r="S515" s="234"/>
    </row>
    <row r="516">
      <c r="A516" s="234"/>
      <c r="B516" s="234"/>
      <c r="C516" s="236"/>
      <c r="D516" s="234"/>
      <c r="E516" s="234"/>
      <c r="F516" s="234"/>
      <c r="G516" s="234"/>
      <c r="H516" s="234"/>
      <c r="I516" s="234"/>
      <c r="J516" s="234"/>
      <c r="K516" s="234"/>
      <c r="M516" s="234"/>
      <c r="N516" s="234"/>
      <c r="O516" s="238"/>
      <c r="P516" s="234"/>
      <c r="Q516" s="234"/>
      <c r="R516" s="234"/>
      <c r="S516" s="234"/>
    </row>
    <row r="517">
      <c r="A517" s="234"/>
      <c r="B517" s="234"/>
      <c r="C517" s="236"/>
      <c r="D517" s="234"/>
      <c r="E517" s="234"/>
      <c r="F517" s="234"/>
      <c r="G517" s="234"/>
      <c r="H517" s="234"/>
      <c r="I517" s="234"/>
      <c r="J517" s="234"/>
      <c r="K517" s="234"/>
      <c r="M517" s="234"/>
      <c r="N517" s="234"/>
      <c r="O517" s="238"/>
      <c r="P517" s="234"/>
      <c r="Q517" s="234"/>
      <c r="R517" s="234"/>
      <c r="S517" s="234"/>
    </row>
    <row r="518">
      <c r="A518" s="234"/>
      <c r="B518" s="234"/>
      <c r="C518" s="236"/>
      <c r="D518" s="234"/>
      <c r="E518" s="234"/>
      <c r="F518" s="234"/>
      <c r="G518" s="234"/>
      <c r="H518" s="234"/>
      <c r="I518" s="234"/>
      <c r="J518" s="234"/>
      <c r="K518" s="234"/>
      <c r="M518" s="234"/>
      <c r="N518" s="234"/>
      <c r="O518" s="238"/>
      <c r="P518" s="234"/>
      <c r="Q518" s="234"/>
      <c r="R518" s="234"/>
      <c r="S518" s="234"/>
    </row>
    <row r="519">
      <c r="A519" s="234"/>
      <c r="B519" s="234"/>
      <c r="C519" s="236"/>
      <c r="D519" s="234"/>
      <c r="E519" s="234"/>
      <c r="F519" s="234"/>
      <c r="G519" s="234"/>
      <c r="H519" s="234"/>
      <c r="I519" s="234"/>
      <c r="J519" s="234"/>
      <c r="K519" s="234"/>
      <c r="M519" s="234"/>
      <c r="N519" s="234"/>
      <c r="O519" s="238"/>
      <c r="P519" s="234"/>
      <c r="Q519" s="234"/>
      <c r="R519" s="234"/>
      <c r="S519" s="234"/>
    </row>
    <row r="520">
      <c r="A520" s="234"/>
      <c r="B520" s="234"/>
      <c r="C520" s="236"/>
      <c r="D520" s="234"/>
      <c r="E520" s="234"/>
      <c r="F520" s="234"/>
      <c r="G520" s="234"/>
      <c r="H520" s="234"/>
      <c r="I520" s="234"/>
      <c r="J520" s="234"/>
      <c r="K520" s="234"/>
      <c r="M520" s="234"/>
      <c r="N520" s="234"/>
      <c r="O520" s="238"/>
      <c r="P520" s="234"/>
      <c r="Q520" s="234"/>
      <c r="R520" s="234"/>
      <c r="S520" s="234"/>
    </row>
    <row r="521">
      <c r="A521" s="234"/>
      <c r="B521" s="234"/>
      <c r="C521" s="236"/>
      <c r="D521" s="234"/>
      <c r="E521" s="234"/>
      <c r="F521" s="234"/>
      <c r="G521" s="234"/>
      <c r="H521" s="234"/>
      <c r="I521" s="234"/>
      <c r="J521" s="234"/>
      <c r="K521" s="234"/>
      <c r="M521" s="234"/>
      <c r="N521" s="234"/>
      <c r="O521" s="238"/>
      <c r="P521" s="234"/>
      <c r="Q521" s="234"/>
      <c r="R521" s="234"/>
      <c r="S521" s="234"/>
    </row>
    <row r="522">
      <c r="A522" s="234"/>
      <c r="B522" s="234"/>
      <c r="C522" s="236"/>
      <c r="D522" s="234"/>
      <c r="E522" s="234"/>
      <c r="F522" s="234"/>
      <c r="G522" s="234"/>
      <c r="H522" s="234"/>
      <c r="I522" s="234"/>
      <c r="J522" s="234"/>
      <c r="K522" s="234"/>
      <c r="M522" s="234"/>
      <c r="N522" s="234"/>
      <c r="O522" s="238"/>
      <c r="P522" s="234"/>
      <c r="Q522" s="234"/>
      <c r="R522" s="234"/>
      <c r="S522" s="234"/>
    </row>
    <row r="523">
      <c r="A523" s="234"/>
      <c r="B523" s="234"/>
      <c r="C523" s="236"/>
      <c r="D523" s="234"/>
      <c r="E523" s="234"/>
      <c r="F523" s="234"/>
      <c r="G523" s="234"/>
      <c r="H523" s="234"/>
      <c r="I523" s="234"/>
      <c r="J523" s="234"/>
      <c r="K523" s="234"/>
      <c r="M523" s="234"/>
      <c r="N523" s="234"/>
      <c r="O523" s="238"/>
      <c r="P523" s="234"/>
      <c r="Q523" s="234"/>
      <c r="R523" s="234"/>
      <c r="S523" s="234"/>
    </row>
    <row r="524">
      <c r="A524" s="234"/>
      <c r="B524" s="234"/>
      <c r="C524" s="236"/>
      <c r="D524" s="234"/>
      <c r="E524" s="234"/>
      <c r="F524" s="234"/>
      <c r="G524" s="234"/>
      <c r="H524" s="234"/>
      <c r="I524" s="234"/>
      <c r="J524" s="234"/>
      <c r="K524" s="234"/>
      <c r="M524" s="234"/>
      <c r="N524" s="234"/>
      <c r="O524" s="238"/>
      <c r="P524" s="234"/>
      <c r="Q524" s="234"/>
      <c r="R524" s="234"/>
      <c r="S524" s="234"/>
    </row>
    <row r="525">
      <c r="A525" s="234"/>
      <c r="B525" s="234"/>
      <c r="C525" s="236"/>
      <c r="D525" s="234"/>
      <c r="E525" s="234"/>
      <c r="F525" s="234"/>
      <c r="G525" s="234"/>
      <c r="H525" s="234"/>
      <c r="I525" s="234"/>
      <c r="J525" s="234"/>
      <c r="K525" s="234"/>
      <c r="M525" s="234"/>
      <c r="N525" s="234"/>
      <c r="O525" s="238"/>
      <c r="P525" s="234"/>
      <c r="Q525" s="234"/>
      <c r="R525" s="234"/>
      <c r="S525" s="234"/>
    </row>
    <row r="526">
      <c r="A526" s="234"/>
      <c r="B526" s="234"/>
      <c r="C526" s="236"/>
      <c r="D526" s="234"/>
      <c r="E526" s="234"/>
      <c r="F526" s="234"/>
      <c r="G526" s="234"/>
      <c r="H526" s="234"/>
      <c r="I526" s="234"/>
      <c r="J526" s="234"/>
      <c r="K526" s="234"/>
      <c r="M526" s="234"/>
      <c r="N526" s="234"/>
      <c r="O526" s="238"/>
      <c r="P526" s="234"/>
      <c r="Q526" s="234"/>
      <c r="R526" s="234"/>
      <c r="S526" s="234"/>
    </row>
    <row r="527">
      <c r="A527" s="234"/>
      <c r="B527" s="234"/>
      <c r="C527" s="236"/>
      <c r="D527" s="234"/>
      <c r="E527" s="234"/>
      <c r="F527" s="234"/>
      <c r="G527" s="234"/>
      <c r="H527" s="234"/>
      <c r="I527" s="234"/>
      <c r="J527" s="234"/>
      <c r="K527" s="234"/>
      <c r="M527" s="234"/>
      <c r="N527" s="234"/>
      <c r="O527" s="238"/>
      <c r="P527" s="234"/>
      <c r="Q527" s="234"/>
      <c r="R527" s="234"/>
      <c r="S527" s="234"/>
    </row>
    <row r="528">
      <c r="A528" s="234"/>
      <c r="B528" s="234"/>
      <c r="C528" s="236"/>
      <c r="D528" s="234"/>
      <c r="E528" s="234"/>
      <c r="F528" s="234"/>
      <c r="G528" s="234"/>
      <c r="H528" s="234"/>
      <c r="I528" s="234"/>
      <c r="J528" s="234"/>
      <c r="K528" s="234"/>
      <c r="M528" s="234"/>
      <c r="N528" s="234"/>
      <c r="O528" s="238"/>
      <c r="P528" s="234"/>
      <c r="Q528" s="234"/>
      <c r="R528" s="234"/>
      <c r="S528" s="234"/>
    </row>
    <row r="529">
      <c r="A529" s="234"/>
      <c r="B529" s="234"/>
      <c r="C529" s="236"/>
      <c r="D529" s="234"/>
      <c r="E529" s="234"/>
      <c r="F529" s="234"/>
      <c r="G529" s="234"/>
      <c r="H529" s="234"/>
      <c r="I529" s="234"/>
      <c r="J529" s="234"/>
      <c r="K529" s="234"/>
      <c r="M529" s="234"/>
      <c r="N529" s="234"/>
      <c r="O529" s="238"/>
      <c r="P529" s="234"/>
      <c r="Q529" s="234"/>
      <c r="R529" s="234"/>
      <c r="S529" s="234"/>
    </row>
    <row r="530">
      <c r="A530" s="234"/>
      <c r="B530" s="234"/>
      <c r="C530" s="236"/>
      <c r="D530" s="234"/>
      <c r="E530" s="234"/>
      <c r="F530" s="234"/>
      <c r="G530" s="234"/>
      <c r="H530" s="234"/>
      <c r="I530" s="234"/>
      <c r="J530" s="234"/>
      <c r="K530" s="234"/>
      <c r="M530" s="234"/>
      <c r="N530" s="234"/>
      <c r="O530" s="238"/>
      <c r="P530" s="234"/>
      <c r="Q530" s="234"/>
      <c r="R530" s="234"/>
      <c r="S530" s="234"/>
    </row>
    <row r="531">
      <c r="A531" s="234"/>
      <c r="B531" s="234"/>
      <c r="C531" s="236"/>
      <c r="D531" s="234"/>
      <c r="E531" s="234"/>
      <c r="F531" s="234"/>
      <c r="G531" s="234"/>
      <c r="H531" s="234"/>
      <c r="I531" s="234"/>
      <c r="J531" s="234"/>
      <c r="K531" s="234"/>
      <c r="M531" s="234"/>
      <c r="N531" s="234"/>
      <c r="O531" s="238"/>
      <c r="P531" s="234"/>
      <c r="Q531" s="234"/>
      <c r="R531" s="234"/>
      <c r="S531" s="234"/>
    </row>
    <row r="532">
      <c r="A532" s="234"/>
      <c r="B532" s="234"/>
      <c r="C532" s="236"/>
      <c r="D532" s="234"/>
      <c r="E532" s="234"/>
      <c r="F532" s="234"/>
      <c r="G532" s="234"/>
      <c r="H532" s="234"/>
      <c r="I532" s="234"/>
      <c r="J532" s="234"/>
      <c r="K532" s="234"/>
      <c r="M532" s="234"/>
      <c r="N532" s="234"/>
      <c r="O532" s="238"/>
      <c r="P532" s="234"/>
      <c r="Q532" s="234"/>
      <c r="R532" s="234"/>
      <c r="S532" s="234"/>
    </row>
    <row r="533">
      <c r="A533" s="234"/>
      <c r="B533" s="234"/>
      <c r="C533" s="236"/>
      <c r="D533" s="234"/>
      <c r="E533" s="234"/>
      <c r="F533" s="234"/>
      <c r="G533" s="234"/>
      <c r="H533" s="234"/>
      <c r="I533" s="234"/>
      <c r="J533" s="234"/>
      <c r="K533" s="234"/>
      <c r="M533" s="234"/>
      <c r="N533" s="234"/>
      <c r="O533" s="238"/>
      <c r="P533" s="234"/>
      <c r="Q533" s="234"/>
      <c r="R533" s="234"/>
      <c r="S533" s="234"/>
    </row>
    <row r="534">
      <c r="A534" s="234"/>
      <c r="B534" s="234"/>
      <c r="C534" s="236"/>
      <c r="D534" s="234"/>
      <c r="E534" s="234"/>
      <c r="F534" s="234"/>
      <c r="G534" s="234"/>
      <c r="H534" s="234"/>
      <c r="I534" s="234"/>
      <c r="J534" s="234"/>
      <c r="K534" s="234"/>
      <c r="M534" s="234"/>
      <c r="N534" s="234"/>
      <c r="O534" s="238"/>
      <c r="P534" s="234"/>
      <c r="Q534" s="234"/>
      <c r="R534" s="234"/>
      <c r="S534" s="234"/>
    </row>
    <row r="535">
      <c r="A535" s="234"/>
      <c r="B535" s="234"/>
      <c r="C535" s="236"/>
      <c r="D535" s="234"/>
      <c r="E535" s="234"/>
      <c r="F535" s="234"/>
      <c r="G535" s="234"/>
      <c r="H535" s="234"/>
      <c r="I535" s="234"/>
      <c r="J535" s="234"/>
      <c r="K535" s="234"/>
      <c r="M535" s="234"/>
      <c r="N535" s="234"/>
      <c r="O535" s="238"/>
      <c r="P535" s="234"/>
      <c r="Q535" s="234"/>
      <c r="R535" s="234"/>
      <c r="S535" s="234"/>
    </row>
    <row r="536">
      <c r="A536" s="234"/>
      <c r="B536" s="234"/>
      <c r="C536" s="236"/>
      <c r="D536" s="234"/>
      <c r="E536" s="234"/>
      <c r="F536" s="234"/>
      <c r="G536" s="234"/>
      <c r="H536" s="234"/>
      <c r="I536" s="234"/>
      <c r="J536" s="234"/>
      <c r="K536" s="234"/>
      <c r="M536" s="234"/>
      <c r="N536" s="234"/>
      <c r="O536" s="238"/>
      <c r="P536" s="234"/>
      <c r="Q536" s="234"/>
      <c r="R536" s="234"/>
      <c r="S536" s="234"/>
    </row>
    <row r="537">
      <c r="A537" s="234"/>
      <c r="B537" s="234"/>
      <c r="C537" s="236"/>
      <c r="D537" s="234"/>
      <c r="E537" s="234"/>
      <c r="F537" s="234"/>
      <c r="G537" s="234"/>
      <c r="H537" s="234"/>
      <c r="I537" s="234"/>
      <c r="J537" s="234"/>
      <c r="K537" s="234"/>
      <c r="M537" s="234"/>
      <c r="N537" s="234"/>
      <c r="O537" s="238"/>
      <c r="P537" s="234"/>
      <c r="Q537" s="234"/>
      <c r="R537" s="234"/>
      <c r="S537" s="234"/>
    </row>
    <row r="538">
      <c r="A538" s="234"/>
      <c r="B538" s="234"/>
      <c r="C538" s="236"/>
      <c r="D538" s="234"/>
      <c r="E538" s="234"/>
      <c r="F538" s="234"/>
      <c r="G538" s="234"/>
      <c r="H538" s="234"/>
      <c r="I538" s="234"/>
      <c r="J538" s="234"/>
      <c r="K538" s="234"/>
      <c r="M538" s="234"/>
      <c r="N538" s="234"/>
      <c r="O538" s="238"/>
      <c r="P538" s="234"/>
      <c r="Q538" s="234"/>
      <c r="R538" s="234"/>
      <c r="S538" s="234"/>
    </row>
    <row r="539">
      <c r="A539" s="234"/>
      <c r="B539" s="234"/>
      <c r="C539" s="236"/>
      <c r="D539" s="234"/>
      <c r="E539" s="234"/>
      <c r="F539" s="234"/>
      <c r="G539" s="234"/>
      <c r="H539" s="234"/>
      <c r="I539" s="234"/>
      <c r="J539" s="234"/>
      <c r="K539" s="234"/>
      <c r="M539" s="234"/>
      <c r="N539" s="234"/>
      <c r="O539" s="238"/>
      <c r="P539" s="234"/>
      <c r="Q539" s="234"/>
      <c r="R539" s="234"/>
      <c r="S539" s="234"/>
    </row>
    <row r="540">
      <c r="A540" s="234"/>
      <c r="B540" s="234"/>
      <c r="C540" s="236"/>
      <c r="D540" s="234"/>
      <c r="E540" s="234"/>
      <c r="F540" s="234"/>
      <c r="G540" s="234"/>
      <c r="H540" s="234"/>
      <c r="I540" s="234"/>
      <c r="J540" s="234"/>
      <c r="K540" s="234"/>
      <c r="M540" s="234"/>
      <c r="N540" s="234"/>
      <c r="O540" s="238"/>
      <c r="P540" s="234"/>
      <c r="Q540" s="234"/>
      <c r="R540" s="234"/>
      <c r="S540" s="234"/>
    </row>
    <row r="541">
      <c r="A541" s="234"/>
      <c r="B541" s="234"/>
      <c r="C541" s="236"/>
      <c r="D541" s="234"/>
      <c r="E541" s="234"/>
      <c r="F541" s="234"/>
      <c r="G541" s="234"/>
      <c r="H541" s="234"/>
      <c r="I541" s="234"/>
      <c r="J541" s="234"/>
      <c r="K541" s="234"/>
      <c r="M541" s="234"/>
      <c r="N541" s="234"/>
      <c r="O541" s="238"/>
      <c r="P541" s="234"/>
      <c r="Q541" s="234"/>
      <c r="R541" s="234"/>
      <c r="S541" s="234"/>
    </row>
    <row r="542">
      <c r="A542" s="234"/>
      <c r="B542" s="234"/>
      <c r="C542" s="236"/>
      <c r="D542" s="234"/>
      <c r="E542" s="234"/>
      <c r="F542" s="234"/>
      <c r="G542" s="234"/>
      <c r="H542" s="234"/>
      <c r="I542" s="234"/>
      <c r="J542" s="234"/>
      <c r="K542" s="234"/>
      <c r="M542" s="234"/>
      <c r="N542" s="234"/>
      <c r="O542" s="238"/>
      <c r="P542" s="234"/>
      <c r="Q542" s="234"/>
      <c r="R542" s="234"/>
      <c r="S542" s="234"/>
    </row>
    <row r="543">
      <c r="A543" s="234"/>
      <c r="B543" s="234"/>
      <c r="C543" s="236"/>
      <c r="D543" s="234"/>
      <c r="E543" s="234"/>
      <c r="F543" s="234"/>
      <c r="G543" s="234"/>
      <c r="H543" s="234"/>
      <c r="I543" s="234"/>
      <c r="J543" s="234"/>
      <c r="K543" s="234"/>
      <c r="M543" s="234"/>
      <c r="N543" s="234"/>
      <c r="O543" s="238"/>
      <c r="P543" s="234"/>
      <c r="Q543" s="234"/>
      <c r="R543" s="234"/>
      <c r="S543" s="234"/>
    </row>
    <row r="544">
      <c r="A544" s="234"/>
      <c r="B544" s="234"/>
      <c r="C544" s="236"/>
      <c r="D544" s="234"/>
      <c r="E544" s="234"/>
      <c r="F544" s="234"/>
      <c r="G544" s="234"/>
      <c r="H544" s="234"/>
      <c r="I544" s="234"/>
      <c r="J544" s="234"/>
      <c r="K544" s="234"/>
      <c r="M544" s="234"/>
      <c r="N544" s="234"/>
      <c r="O544" s="238"/>
      <c r="P544" s="234"/>
      <c r="Q544" s="234"/>
      <c r="R544" s="234"/>
      <c r="S544" s="234"/>
    </row>
    <row r="545">
      <c r="A545" s="234"/>
      <c r="B545" s="234"/>
      <c r="C545" s="236"/>
      <c r="D545" s="234"/>
      <c r="E545" s="234"/>
      <c r="F545" s="234"/>
      <c r="G545" s="234"/>
      <c r="H545" s="234"/>
      <c r="I545" s="234"/>
      <c r="J545" s="234"/>
      <c r="K545" s="234"/>
      <c r="M545" s="234"/>
      <c r="N545" s="234"/>
      <c r="O545" s="238"/>
      <c r="P545" s="234"/>
      <c r="Q545" s="234"/>
      <c r="R545" s="234"/>
      <c r="S545" s="234"/>
    </row>
    <row r="546">
      <c r="A546" s="234"/>
      <c r="B546" s="234"/>
      <c r="C546" s="236"/>
      <c r="D546" s="234"/>
      <c r="E546" s="234"/>
      <c r="F546" s="234"/>
      <c r="G546" s="234"/>
      <c r="H546" s="234"/>
      <c r="I546" s="234"/>
      <c r="J546" s="234"/>
      <c r="K546" s="234"/>
      <c r="M546" s="234"/>
      <c r="N546" s="234"/>
      <c r="O546" s="238"/>
      <c r="P546" s="234"/>
      <c r="Q546" s="234"/>
      <c r="R546" s="234"/>
      <c r="S546" s="234"/>
    </row>
    <row r="547">
      <c r="A547" s="234"/>
      <c r="B547" s="234"/>
      <c r="C547" s="236"/>
      <c r="D547" s="234"/>
      <c r="E547" s="234"/>
      <c r="F547" s="234"/>
      <c r="G547" s="234"/>
      <c r="H547" s="234"/>
      <c r="I547" s="234"/>
      <c r="J547" s="234"/>
      <c r="K547" s="234"/>
      <c r="M547" s="234"/>
      <c r="N547" s="234"/>
      <c r="O547" s="238"/>
      <c r="P547" s="234"/>
      <c r="Q547" s="234"/>
      <c r="R547" s="234"/>
      <c r="S547" s="234"/>
    </row>
    <row r="548">
      <c r="A548" s="234"/>
      <c r="B548" s="234"/>
      <c r="C548" s="236"/>
      <c r="D548" s="234"/>
      <c r="E548" s="234"/>
      <c r="F548" s="234"/>
      <c r="G548" s="234"/>
      <c r="H548" s="234"/>
      <c r="I548" s="234"/>
      <c r="J548" s="234"/>
      <c r="K548" s="234"/>
      <c r="M548" s="234"/>
      <c r="N548" s="234"/>
      <c r="O548" s="238"/>
      <c r="P548" s="234"/>
      <c r="Q548" s="234"/>
      <c r="R548" s="234"/>
      <c r="S548" s="234"/>
    </row>
    <row r="549">
      <c r="A549" s="234"/>
      <c r="B549" s="234"/>
      <c r="C549" s="236"/>
      <c r="D549" s="234"/>
      <c r="E549" s="234"/>
      <c r="F549" s="234"/>
      <c r="G549" s="234"/>
      <c r="H549" s="234"/>
      <c r="I549" s="234"/>
      <c r="J549" s="234"/>
      <c r="K549" s="234"/>
      <c r="M549" s="234"/>
      <c r="N549" s="234"/>
      <c r="O549" s="238"/>
      <c r="P549" s="234"/>
      <c r="Q549" s="234"/>
      <c r="R549" s="234"/>
      <c r="S549" s="234"/>
    </row>
    <row r="550">
      <c r="A550" s="234"/>
      <c r="B550" s="234"/>
      <c r="C550" s="236"/>
      <c r="D550" s="234"/>
      <c r="E550" s="234"/>
      <c r="F550" s="234"/>
      <c r="G550" s="234"/>
      <c r="H550" s="234"/>
      <c r="I550" s="234"/>
      <c r="J550" s="234"/>
      <c r="K550" s="234"/>
      <c r="M550" s="234"/>
      <c r="N550" s="234"/>
      <c r="O550" s="238"/>
      <c r="P550" s="234"/>
      <c r="Q550" s="234"/>
      <c r="R550" s="234"/>
      <c r="S550" s="234"/>
    </row>
    <row r="551">
      <c r="A551" s="234"/>
      <c r="B551" s="234"/>
      <c r="C551" s="236"/>
      <c r="D551" s="234"/>
      <c r="E551" s="234"/>
      <c r="F551" s="234"/>
      <c r="G551" s="234"/>
      <c r="H551" s="234"/>
      <c r="I551" s="234"/>
      <c r="J551" s="234"/>
      <c r="K551" s="234"/>
      <c r="M551" s="234"/>
      <c r="N551" s="234"/>
      <c r="O551" s="238"/>
      <c r="P551" s="234"/>
      <c r="Q551" s="234"/>
      <c r="R551" s="234"/>
      <c r="S551" s="234"/>
    </row>
    <row r="552">
      <c r="A552" s="234"/>
      <c r="B552" s="234"/>
      <c r="C552" s="236"/>
      <c r="D552" s="234"/>
      <c r="E552" s="234"/>
      <c r="F552" s="234"/>
      <c r="G552" s="234"/>
      <c r="H552" s="234"/>
      <c r="I552" s="234"/>
      <c r="J552" s="234"/>
      <c r="K552" s="234"/>
      <c r="M552" s="234"/>
      <c r="N552" s="234"/>
      <c r="O552" s="238"/>
      <c r="P552" s="234"/>
      <c r="Q552" s="234"/>
      <c r="R552" s="234"/>
      <c r="S552" s="234"/>
    </row>
    <row r="553">
      <c r="A553" s="234"/>
      <c r="B553" s="234"/>
      <c r="C553" s="236"/>
      <c r="D553" s="234"/>
      <c r="E553" s="234"/>
      <c r="F553" s="234"/>
      <c r="G553" s="234"/>
      <c r="H553" s="234"/>
      <c r="I553" s="234"/>
      <c r="J553" s="234"/>
      <c r="K553" s="234"/>
      <c r="M553" s="234"/>
      <c r="N553" s="234"/>
      <c r="O553" s="238"/>
      <c r="P553" s="234"/>
      <c r="Q553" s="234"/>
      <c r="R553" s="234"/>
      <c r="S553" s="234"/>
    </row>
    <row r="554">
      <c r="A554" s="234"/>
      <c r="B554" s="234"/>
      <c r="C554" s="236"/>
      <c r="D554" s="234"/>
      <c r="E554" s="234"/>
      <c r="F554" s="234"/>
      <c r="G554" s="234"/>
      <c r="H554" s="234"/>
      <c r="I554" s="234"/>
      <c r="J554" s="234"/>
      <c r="K554" s="234"/>
      <c r="M554" s="234"/>
      <c r="N554" s="234"/>
      <c r="O554" s="238"/>
      <c r="P554" s="234"/>
      <c r="Q554" s="234"/>
      <c r="R554" s="234"/>
      <c r="S554" s="234"/>
    </row>
    <row r="555">
      <c r="A555" s="234"/>
      <c r="B555" s="234"/>
      <c r="C555" s="236"/>
      <c r="D555" s="234"/>
      <c r="E555" s="234"/>
      <c r="F555" s="234"/>
      <c r="G555" s="234"/>
      <c r="H555" s="234"/>
      <c r="I555" s="234"/>
      <c r="J555" s="234"/>
      <c r="K555" s="234"/>
      <c r="M555" s="234"/>
      <c r="N555" s="234"/>
      <c r="O555" s="238"/>
      <c r="P555" s="234"/>
      <c r="Q555" s="234"/>
      <c r="R555" s="234"/>
      <c r="S555" s="234"/>
    </row>
    <row r="556">
      <c r="A556" s="234"/>
      <c r="B556" s="234"/>
      <c r="C556" s="236"/>
      <c r="D556" s="234"/>
      <c r="E556" s="234"/>
      <c r="F556" s="234"/>
      <c r="G556" s="234"/>
      <c r="H556" s="234"/>
      <c r="I556" s="234"/>
      <c r="J556" s="234"/>
      <c r="K556" s="234"/>
      <c r="M556" s="234"/>
      <c r="N556" s="234"/>
      <c r="O556" s="238"/>
      <c r="P556" s="234"/>
      <c r="Q556" s="234"/>
      <c r="R556" s="234"/>
      <c r="S556" s="234"/>
    </row>
    <row r="557">
      <c r="A557" s="234"/>
      <c r="B557" s="234"/>
      <c r="C557" s="236"/>
      <c r="D557" s="234"/>
      <c r="E557" s="234"/>
      <c r="F557" s="234"/>
      <c r="G557" s="234"/>
      <c r="H557" s="234"/>
      <c r="I557" s="234"/>
      <c r="J557" s="234"/>
      <c r="K557" s="234"/>
      <c r="M557" s="234"/>
      <c r="N557" s="234"/>
      <c r="O557" s="238"/>
      <c r="P557" s="234"/>
      <c r="Q557" s="234"/>
      <c r="R557" s="234"/>
      <c r="S557" s="234"/>
    </row>
    <row r="558">
      <c r="A558" s="234"/>
      <c r="B558" s="234"/>
      <c r="C558" s="236"/>
      <c r="D558" s="234"/>
      <c r="E558" s="234"/>
      <c r="F558" s="234"/>
      <c r="G558" s="234"/>
      <c r="H558" s="234"/>
      <c r="I558" s="234"/>
      <c r="J558" s="234"/>
      <c r="K558" s="234"/>
      <c r="M558" s="234"/>
      <c r="N558" s="234"/>
      <c r="O558" s="238"/>
      <c r="P558" s="234"/>
      <c r="Q558" s="234"/>
      <c r="R558" s="234"/>
      <c r="S558" s="234"/>
    </row>
    <row r="559">
      <c r="A559" s="234"/>
      <c r="B559" s="234"/>
      <c r="C559" s="236"/>
      <c r="D559" s="234"/>
      <c r="E559" s="234"/>
      <c r="F559" s="234"/>
      <c r="G559" s="234"/>
      <c r="H559" s="234"/>
      <c r="I559" s="234"/>
      <c r="J559" s="234"/>
      <c r="K559" s="234"/>
      <c r="M559" s="234"/>
      <c r="N559" s="234"/>
      <c r="O559" s="238"/>
      <c r="P559" s="234"/>
      <c r="Q559" s="234"/>
      <c r="R559" s="234"/>
      <c r="S559" s="234"/>
    </row>
    <row r="560">
      <c r="A560" s="234"/>
      <c r="B560" s="234"/>
      <c r="C560" s="236"/>
      <c r="D560" s="234"/>
      <c r="E560" s="234"/>
      <c r="F560" s="234"/>
      <c r="G560" s="234"/>
      <c r="H560" s="234"/>
      <c r="I560" s="234"/>
      <c r="J560" s="234"/>
      <c r="K560" s="234"/>
      <c r="M560" s="234"/>
      <c r="N560" s="234"/>
      <c r="O560" s="238"/>
      <c r="P560" s="234"/>
      <c r="Q560" s="234"/>
      <c r="R560" s="234"/>
      <c r="S560" s="234"/>
    </row>
    <row r="561">
      <c r="A561" s="234"/>
      <c r="B561" s="234"/>
      <c r="C561" s="236"/>
      <c r="D561" s="234"/>
      <c r="E561" s="234"/>
      <c r="F561" s="234"/>
      <c r="G561" s="234"/>
      <c r="H561" s="234"/>
      <c r="I561" s="234"/>
      <c r="J561" s="234"/>
      <c r="K561" s="234"/>
      <c r="M561" s="234"/>
      <c r="N561" s="234"/>
      <c r="O561" s="238"/>
      <c r="P561" s="234"/>
      <c r="Q561" s="234"/>
      <c r="R561" s="234"/>
      <c r="S561" s="234"/>
    </row>
    <row r="562">
      <c r="A562" s="234"/>
      <c r="B562" s="234"/>
      <c r="C562" s="236"/>
      <c r="D562" s="234"/>
      <c r="E562" s="234"/>
      <c r="F562" s="234"/>
      <c r="G562" s="234"/>
      <c r="H562" s="234"/>
      <c r="I562" s="234"/>
      <c r="J562" s="234"/>
      <c r="K562" s="234"/>
      <c r="M562" s="234"/>
      <c r="N562" s="234"/>
      <c r="O562" s="238"/>
      <c r="P562" s="234"/>
      <c r="Q562" s="234"/>
      <c r="R562" s="234"/>
      <c r="S562" s="234"/>
    </row>
    <row r="563">
      <c r="A563" s="234"/>
      <c r="B563" s="234"/>
      <c r="C563" s="236"/>
      <c r="D563" s="234"/>
      <c r="E563" s="234"/>
      <c r="F563" s="234"/>
      <c r="G563" s="234"/>
      <c r="H563" s="234"/>
      <c r="I563" s="234"/>
      <c r="J563" s="234"/>
      <c r="K563" s="234"/>
      <c r="M563" s="234"/>
      <c r="N563" s="234"/>
      <c r="O563" s="238"/>
      <c r="P563" s="234"/>
      <c r="Q563" s="234"/>
      <c r="R563" s="234"/>
      <c r="S563" s="234"/>
    </row>
    <row r="564">
      <c r="A564" s="234"/>
      <c r="B564" s="234"/>
      <c r="C564" s="236"/>
      <c r="D564" s="234"/>
      <c r="E564" s="234"/>
      <c r="F564" s="234"/>
      <c r="G564" s="234"/>
      <c r="H564" s="234"/>
      <c r="I564" s="234"/>
      <c r="J564" s="234"/>
      <c r="K564" s="234"/>
      <c r="M564" s="234"/>
      <c r="N564" s="234"/>
      <c r="O564" s="238"/>
      <c r="P564" s="234"/>
      <c r="Q564" s="234"/>
      <c r="R564" s="234"/>
      <c r="S564" s="234"/>
    </row>
    <row r="565">
      <c r="A565" s="234"/>
      <c r="B565" s="234"/>
      <c r="C565" s="236"/>
      <c r="D565" s="234"/>
      <c r="E565" s="234"/>
      <c r="F565" s="234"/>
      <c r="G565" s="234"/>
      <c r="H565" s="234"/>
      <c r="I565" s="234"/>
      <c r="J565" s="234"/>
      <c r="K565" s="234"/>
      <c r="M565" s="234"/>
      <c r="N565" s="234"/>
      <c r="O565" s="238"/>
      <c r="P565" s="234"/>
      <c r="Q565" s="234"/>
      <c r="R565" s="234"/>
      <c r="S565" s="234"/>
    </row>
    <row r="566">
      <c r="A566" s="234"/>
      <c r="B566" s="234"/>
      <c r="C566" s="236"/>
      <c r="D566" s="234"/>
      <c r="E566" s="234"/>
      <c r="F566" s="234"/>
      <c r="G566" s="234"/>
      <c r="H566" s="234"/>
      <c r="I566" s="234"/>
      <c r="J566" s="234"/>
      <c r="K566" s="234"/>
      <c r="M566" s="234"/>
      <c r="N566" s="234"/>
      <c r="O566" s="238"/>
      <c r="P566" s="234"/>
      <c r="Q566" s="234"/>
      <c r="R566" s="234"/>
      <c r="S566" s="234"/>
    </row>
    <row r="567">
      <c r="A567" s="234"/>
      <c r="B567" s="234"/>
      <c r="C567" s="236"/>
      <c r="D567" s="234"/>
      <c r="E567" s="234"/>
      <c r="F567" s="234"/>
      <c r="G567" s="234"/>
      <c r="H567" s="234"/>
      <c r="I567" s="234"/>
      <c r="J567" s="234"/>
      <c r="K567" s="234"/>
      <c r="M567" s="234"/>
      <c r="N567" s="234"/>
      <c r="O567" s="238"/>
      <c r="P567" s="234"/>
      <c r="Q567" s="234"/>
      <c r="R567" s="234"/>
      <c r="S567" s="234"/>
    </row>
    <row r="568">
      <c r="A568" s="234"/>
      <c r="B568" s="234"/>
      <c r="C568" s="236"/>
      <c r="D568" s="234"/>
      <c r="E568" s="234"/>
      <c r="F568" s="234"/>
      <c r="G568" s="234"/>
      <c r="H568" s="234"/>
      <c r="I568" s="234"/>
      <c r="J568" s="234"/>
      <c r="K568" s="234"/>
      <c r="M568" s="234"/>
      <c r="N568" s="234"/>
      <c r="O568" s="238"/>
      <c r="P568" s="234"/>
      <c r="Q568" s="234"/>
      <c r="R568" s="234"/>
      <c r="S568" s="234"/>
    </row>
    <row r="569">
      <c r="A569" s="234"/>
      <c r="B569" s="234"/>
      <c r="C569" s="236"/>
      <c r="D569" s="234"/>
      <c r="E569" s="234"/>
      <c r="F569" s="234"/>
      <c r="G569" s="234"/>
      <c r="H569" s="234"/>
      <c r="I569" s="234"/>
      <c r="J569" s="234"/>
      <c r="K569" s="234"/>
      <c r="M569" s="234"/>
      <c r="N569" s="234"/>
      <c r="O569" s="238"/>
      <c r="P569" s="234"/>
      <c r="Q569" s="234"/>
      <c r="R569" s="234"/>
      <c r="S569" s="234"/>
    </row>
    <row r="570">
      <c r="A570" s="234"/>
      <c r="B570" s="234"/>
      <c r="C570" s="236"/>
      <c r="D570" s="234"/>
      <c r="E570" s="234"/>
      <c r="F570" s="234"/>
      <c r="G570" s="234"/>
      <c r="H570" s="234"/>
      <c r="I570" s="234"/>
      <c r="J570" s="234"/>
      <c r="K570" s="234"/>
      <c r="M570" s="234"/>
      <c r="N570" s="234"/>
      <c r="O570" s="238"/>
      <c r="P570" s="234"/>
      <c r="Q570" s="234"/>
      <c r="R570" s="234"/>
      <c r="S570" s="234"/>
    </row>
    <row r="571">
      <c r="A571" s="234"/>
      <c r="B571" s="234"/>
      <c r="C571" s="236"/>
      <c r="D571" s="234"/>
      <c r="E571" s="234"/>
      <c r="F571" s="234"/>
      <c r="G571" s="234"/>
      <c r="H571" s="234"/>
      <c r="I571" s="234"/>
      <c r="J571" s="234"/>
      <c r="K571" s="234"/>
      <c r="M571" s="234"/>
      <c r="N571" s="234"/>
      <c r="O571" s="238"/>
      <c r="P571" s="234"/>
      <c r="Q571" s="234"/>
      <c r="R571" s="234"/>
      <c r="S571" s="234"/>
    </row>
    <row r="572">
      <c r="A572" s="234"/>
      <c r="B572" s="234"/>
      <c r="C572" s="236"/>
      <c r="D572" s="234"/>
      <c r="E572" s="234"/>
      <c r="F572" s="234"/>
      <c r="G572" s="234"/>
      <c r="H572" s="234"/>
      <c r="I572" s="234"/>
      <c r="J572" s="234"/>
      <c r="K572" s="234"/>
      <c r="M572" s="234"/>
      <c r="N572" s="234"/>
      <c r="O572" s="238"/>
      <c r="P572" s="234"/>
      <c r="Q572" s="234"/>
      <c r="R572" s="234"/>
      <c r="S572" s="234"/>
    </row>
    <row r="573">
      <c r="A573" s="234"/>
      <c r="B573" s="234"/>
      <c r="C573" s="236"/>
      <c r="D573" s="234"/>
      <c r="E573" s="234"/>
      <c r="F573" s="234"/>
      <c r="G573" s="234"/>
      <c r="H573" s="234"/>
      <c r="I573" s="234"/>
      <c r="J573" s="234"/>
      <c r="K573" s="234"/>
      <c r="M573" s="234"/>
      <c r="N573" s="234"/>
      <c r="O573" s="238"/>
      <c r="P573" s="234"/>
      <c r="Q573" s="234"/>
      <c r="R573" s="234"/>
      <c r="S573" s="234"/>
    </row>
    <row r="574">
      <c r="A574" s="234"/>
      <c r="B574" s="234"/>
      <c r="C574" s="236"/>
      <c r="D574" s="234"/>
      <c r="E574" s="234"/>
      <c r="F574" s="234"/>
      <c r="G574" s="234"/>
      <c r="H574" s="234"/>
      <c r="I574" s="234"/>
      <c r="J574" s="234"/>
      <c r="K574" s="234"/>
      <c r="M574" s="234"/>
      <c r="N574" s="234"/>
      <c r="O574" s="238"/>
      <c r="P574" s="234"/>
      <c r="Q574" s="234"/>
      <c r="R574" s="234"/>
      <c r="S574" s="234"/>
    </row>
    <row r="575">
      <c r="A575" s="234"/>
      <c r="B575" s="234"/>
      <c r="C575" s="236"/>
      <c r="D575" s="234"/>
      <c r="E575" s="234"/>
      <c r="F575" s="234"/>
      <c r="G575" s="234"/>
      <c r="H575" s="234"/>
      <c r="I575" s="234"/>
      <c r="J575" s="234"/>
      <c r="K575" s="234"/>
      <c r="M575" s="234"/>
      <c r="N575" s="234"/>
      <c r="O575" s="238"/>
      <c r="P575" s="234"/>
      <c r="Q575" s="234"/>
      <c r="R575" s="234"/>
      <c r="S575" s="234"/>
    </row>
    <row r="576">
      <c r="A576" s="234"/>
      <c r="B576" s="234"/>
      <c r="C576" s="236"/>
      <c r="D576" s="234"/>
      <c r="E576" s="234"/>
      <c r="F576" s="234"/>
      <c r="G576" s="234"/>
      <c r="H576" s="234"/>
      <c r="I576" s="234"/>
      <c r="J576" s="234"/>
      <c r="K576" s="234"/>
      <c r="M576" s="234"/>
      <c r="N576" s="234"/>
      <c r="O576" s="238"/>
      <c r="P576" s="234"/>
      <c r="Q576" s="234"/>
      <c r="R576" s="234"/>
      <c r="S576" s="234"/>
    </row>
    <row r="577">
      <c r="A577" s="234"/>
      <c r="B577" s="234"/>
      <c r="C577" s="236"/>
      <c r="D577" s="234"/>
      <c r="E577" s="234"/>
      <c r="F577" s="234"/>
      <c r="G577" s="234"/>
      <c r="H577" s="234"/>
      <c r="I577" s="234"/>
      <c r="J577" s="234"/>
      <c r="K577" s="234"/>
      <c r="M577" s="234"/>
      <c r="N577" s="234"/>
      <c r="O577" s="238"/>
      <c r="P577" s="234"/>
      <c r="Q577" s="234"/>
      <c r="R577" s="234"/>
      <c r="S577" s="234"/>
    </row>
    <row r="578">
      <c r="A578" s="234"/>
      <c r="B578" s="234"/>
      <c r="C578" s="236"/>
      <c r="D578" s="234"/>
      <c r="E578" s="234"/>
      <c r="F578" s="234"/>
      <c r="G578" s="234"/>
      <c r="H578" s="234"/>
      <c r="I578" s="234"/>
      <c r="J578" s="234"/>
      <c r="K578" s="234"/>
      <c r="M578" s="234"/>
      <c r="N578" s="234"/>
      <c r="O578" s="238"/>
      <c r="P578" s="234"/>
      <c r="Q578" s="234"/>
      <c r="R578" s="234"/>
      <c r="S578" s="234"/>
    </row>
    <row r="579">
      <c r="A579" s="234"/>
      <c r="B579" s="234"/>
      <c r="C579" s="236"/>
      <c r="D579" s="234"/>
      <c r="E579" s="234"/>
      <c r="F579" s="234"/>
      <c r="G579" s="234"/>
      <c r="H579" s="234"/>
      <c r="I579" s="234"/>
      <c r="J579" s="234"/>
      <c r="K579" s="234"/>
      <c r="M579" s="234"/>
      <c r="N579" s="234"/>
      <c r="O579" s="238"/>
      <c r="P579" s="234"/>
      <c r="Q579" s="234"/>
      <c r="R579" s="234"/>
      <c r="S579" s="234"/>
    </row>
    <row r="580">
      <c r="A580" s="234"/>
      <c r="B580" s="234"/>
      <c r="C580" s="236"/>
      <c r="D580" s="234"/>
      <c r="E580" s="234"/>
      <c r="F580" s="234"/>
      <c r="G580" s="234"/>
      <c r="H580" s="234"/>
      <c r="I580" s="234"/>
      <c r="J580" s="234"/>
      <c r="K580" s="234"/>
      <c r="M580" s="234"/>
      <c r="N580" s="234"/>
      <c r="O580" s="238"/>
      <c r="P580" s="234"/>
      <c r="Q580" s="234"/>
      <c r="R580" s="234"/>
      <c r="S580" s="234"/>
    </row>
    <row r="581">
      <c r="A581" s="234"/>
      <c r="B581" s="234"/>
      <c r="C581" s="236"/>
      <c r="D581" s="234"/>
      <c r="E581" s="234"/>
      <c r="F581" s="234"/>
      <c r="G581" s="234"/>
      <c r="H581" s="234"/>
      <c r="I581" s="234"/>
      <c r="J581" s="234"/>
      <c r="K581" s="234"/>
      <c r="M581" s="234"/>
      <c r="N581" s="234"/>
      <c r="O581" s="238"/>
      <c r="P581" s="234"/>
      <c r="Q581" s="234"/>
      <c r="R581" s="234"/>
      <c r="S581" s="234"/>
    </row>
    <row r="582">
      <c r="A582" s="234"/>
      <c r="B582" s="234"/>
      <c r="C582" s="236"/>
      <c r="D582" s="234"/>
      <c r="E582" s="234"/>
      <c r="F582" s="234"/>
      <c r="G582" s="234"/>
      <c r="H582" s="234"/>
      <c r="I582" s="234"/>
      <c r="J582" s="234"/>
      <c r="K582" s="234"/>
      <c r="M582" s="234"/>
      <c r="N582" s="234"/>
      <c r="O582" s="238"/>
      <c r="P582" s="234"/>
      <c r="Q582" s="234"/>
      <c r="R582" s="234"/>
      <c r="S582" s="234"/>
    </row>
    <row r="583">
      <c r="A583" s="234"/>
      <c r="B583" s="234"/>
      <c r="C583" s="236"/>
      <c r="D583" s="234"/>
      <c r="E583" s="234"/>
      <c r="F583" s="234"/>
      <c r="G583" s="234"/>
      <c r="H583" s="234"/>
      <c r="I583" s="234"/>
      <c r="J583" s="234"/>
      <c r="K583" s="234"/>
      <c r="M583" s="234"/>
      <c r="N583" s="234"/>
      <c r="O583" s="238"/>
      <c r="P583" s="234"/>
      <c r="Q583" s="234"/>
      <c r="R583" s="234"/>
      <c r="S583" s="234"/>
    </row>
    <row r="584">
      <c r="A584" s="234"/>
      <c r="B584" s="234"/>
      <c r="C584" s="236"/>
      <c r="D584" s="234"/>
      <c r="E584" s="234"/>
      <c r="F584" s="234"/>
      <c r="G584" s="234"/>
      <c r="H584" s="234"/>
      <c r="I584" s="234"/>
      <c r="J584" s="234"/>
      <c r="K584" s="234"/>
      <c r="M584" s="234"/>
      <c r="N584" s="234"/>
      <c r="O584" s="238"/>
      <c r="P584" s="234"/>
      <c r="Q584" s="234"/>
      <c r="R584" s="234"/>
      <c r="S584" s="234"/>
    </row>
    <row r="585">
      <c r="A585" s="234"/>
      <c r="B585" s="234"/>
      <c r="C585" s="236"/>
      <c r="D585" s="234"/>
      <c r="E585" s="234"/>
      <c r="F585" s="234"/>
      <c r="G585" s="234"/>
      <c r="H585" s="234"/>
      <c r="I585" s="234"/>
      <c r="J585" s="234"/>
      <c r="K585" s="234"/>
      <c r="M585" s="234"/>
      <c r="N585" s="234"/>
      <c r="O585" s="238"/>
      <c r="P585" s="234"/>
      <c r="Q585" s="234"/>
      <c r="R585" s="234"/>
      <c r="S585" s="234"/>
    </row>
    <row r="586">
      <c r="A586" s="234"/>
      <c r="B586" s="234"/>
      <c r="C586" s="236"/>
      <c r="D586" s="234"/>
      <c r="E586" s="234"/>
      <c r="F586" s="234"/>
      <c r="G586" s="234"/>
      <c r="H586" s="234"/>
      <c r="I586" s="234"/>
      <c r="J586" s="234"/>
      <c r="K586" s="234"/>
      <c r="M586" s="234"/>
      <c r="N586" s="234"/>
      <c r="O586" s="238"/>
      <c r="P586" s="234"/>
      <c r="Q586" s="234"/>
      <c r="R586" s="234"/>
      <c r="S586" s="234"/>
    </row>
    <row r="587">
      <c r="A587" s="234"/>
      <c r="B587" s="234"/>
      <c r="C587" s="236"/>
      <c r="D587" s="234"/>
      <c r="E587" s="234"/>
      <c r="F587" s="234"/>
      <c r="G587" s="234"/>
      <c r="H587" s="234"/>
      <c r="I587" s="234"/>
      <c r="J587" s="234"/>
      <c r="K587" s="234"/>
      <c r="M587" s="234"/>
      <c r="N587" s="234"/>
      <c r="O587" s="238"/>
      <c r="P587" s="234"/>
      <c r="Q587" s="234"/>
      <c r="R587" s="234"/>
      <c r="S587" s="234"/>
    </row>
    <row r="588">
      <c r="A588" s="234"/>
      <c r="B588" s="234"/>
      <c r="C588" s="236"/>
      <c r="D588" s="234"/>
      <c r="E588" s="234"/>
      <c r="F588" s="234"/>
      <c r="G588" s="234"/>
      <c r="H588" s="234"/>
      <c r="I588" s="234"/>
      <c r="J588" s="234"/>
      <c r="K588" s="234"/>
      <c r="M588" s="234"/>
      <c r="N588" s="234"/>
      <c r="O588" s="238"/>
      <c r="P588" s="234"/>
      <c r="Q588" s="234"/>
      <c r="R588" s="234"/>
      <c r="S588" s="234"/>
    </row>
    <row r="589">
      <c r="A589" s="234"/>
      <c r="B589" s="234"/>
      <c r="C589" s="236"/>
      <c r="D589" s="234"/>
      <c r="E589" s="234"/>
      <c r="F589" s="234"/>
      <c r="G589" s="234"/>
      <c r="H589" s="234"/>
      <c r="I589" s="234"/>
      <c r="J589" s="234"/>
      <c r="K589" s="234"/>
      <c r="M589" s="234"/>
      <c r="N589" s="234"/>
      <c r="O589" s="238"/>
      <c r="P589" s="234"/>
      <c r="Q589" s="234"/>
      <c r="R589" s="234"/>
      <c r="S589" s="234"/>
    </row>
    <row r="590">
      <c r="A590" s="234"/>
      <c r="B590" s="234"/>
      <c r="C590" s="236"/>
      <c r="D590" s="234"/>
      <c r="E590" s="234"/>
      <c r="F590" s="234"/>
      <c r="G590" s="234"/>
      <c r="H590" s="234"/>
      <c r="I590" s="234"/>
      <c r="J590" s="234"/>
      <c r="K590" s="234"/>
      <c r="M590" s="234"/>
      <c r="N590" s="234"/>
      <c r="O590" s="238"/>
      <c r="P590" s="234"/>
      <c r="Q590" s="234"/>
      <c r="R590" s="234"/>
      <c r="S590" s="234"/>
    </row>
    <row r="591">
      <c r="A591" s="234"/>
      <c r="B591" s="234"/>
      <c r="C591" s="236"/>
      <c r="D591" s="234"/>
      <c r="E591" s="234"/>
      <c r="F591" s="234"/>
      <c r="G591" s="234"/>
      <c r="H591" s="234"/>
      <c r="I591" s="234"/>
      <c r="J591" s="234"/>
      <c r="K591" s="234"/>
      <c r="M591" s="234"/>
      <c r="N591" s="234"/>
      <c r="O591" s="238"/>
      <c r="P591" s="234"/>
      <c r="Q591" s="234"/>
      <c r="R591" s="234"/>
      <c r="S591" s="234"/>
    </row>
    <row r="592">
      <c r="A592" s="234"/>
      <c r="B592" s="234"/>
      <c r="C592" s="236"/>
      <c r="D592" s="234"/>
      <c r="E592" s="234"/>
      <c r="F592" s="234"/>
      <c r="G592" s="234"/>
      <c r="H592" s="234"/>
      <c r="I592" s="234"/>
      <c r="J592" s="234"/>
      <c r="K592" s="234"/>
      <c r="M592" s="234"/>
      <c r="N592" s="234"/>
      <c r="O592" s="238"/>
      <c r="P592" s="234"/>
      <c r="Q592" s="234"/>
      <c r="R592" s="234"/>
      <c r="S592" s="234"/>
    </row>
    <row r="593">
      <c r="A593" s="234"/>
      <c r="B593" s="234"/>
      <c r="C593" s="236"/>
      <c r="D593" s="234"/>
      <c r="E593" s="234"/>
      <c r="F593" s="234"/>
      <c r="G593" s="234"/>
      <c r="H593" s="234"/>
      <c r="I593" s="234"/>
      <c r="J593" s="234"/>
      <c r="K593" s="234"/>
      <c r="M593" s="234"/>
      <c r="N593" s="234"/>
      <c r="O593" s="238"/>
      <c r="P593" s="234"/>
      <c r="Q593" s="234"/>
      <c r="R593" s="234"/>
      <c r="S593" s="234"/>
    </row>
    <row r="594">
      <c r="A594" s="234"/>
      <c r="B594" s="234"/>
      <c r="C594" s="236"/>
      <c r="D594" s="234"/>
      <c r="E594" s="234"/>
      <c r="F594" s="234"/>
      <c r="G594" s="234"/>
      <c r="H594" s="234"/>
      <c r="I594" s="234"/>
      <c r="J594" s="234"/>
      <c r="K594" s="234"/>
      <c r="M594" s="234"/>
      <c r="N594" s="234"/>
      <c r="O594" s="238"/>
      <c r="P594" s="234"/>
      <c r="Q594" s="234"/>
      <c r="R594" s="234"/>
      <c r="S594" s="234"/>
    </row>
    <row r="595">
      <c r="A595" s="234"/>
      <c r="B595" s="234"/>
      <c r="C595" s="236"/>
      <c r="D595" s="234"/>
      <c r="E595" s="234"/>
      <c r="F595" s="234"/>
      <c r="G595" s="234"/>
      <c r="H595" s="234"/>
      <c r="I595" s="234"/>
      <c r="J595" s="234"/>
      <c r="K595" s="234"/>
      <c r="M595" s="234"/>
      <c r="N595" s="234"/>
      <c r="O595" s="238"/>
      <c r="P595" s="234"/>
      <c r="Q595" s="234"/>
      <c r="R595" s="234"/>
      <c r="S595" s="234"/>
    </row>
    <row r="596">
      <c r="A596" s="234"/>
      <c r="B596" s="234"/>
      <c r="C596" s="236"/>
      <c r="D596" s="234"/>
      <c r="E596" s="234"/>
      <c r="F596" s="234"/>
      <c r="G596" s="234"/>
      <c r="H596" s="234"/>
      <c r="I596" s="234"/>
      <c r="J596" s="234"/>
      <c r="K596" s="234"/>
      <c r="M596" s="234"/>
      <c r="N596" s="234"/>
      <c r="O596" s="238"/>
      <c r="P596" s="234"/>
      <c r="Q596" s="234"/>
      <c r="R596" s="234"/>
      <c r="S596" s="234"/>
    </row>
    <row r="597">
      <c r="A597" s="234"/>
      <c r="B597" s="234"/>
      <c r="C597" s="236"/>
      <c r="D597" s="234"/>
      <c r="E597" s="234"/>
      <c r="F597" s="234"/>
      <c r="G597" s="234"/>
      <c r="H597" s="234"/>
      <c r="I597" s="234"/>
      <c r="J597" s="234"/>
      <c r="K597" s="234"/>
      <c r="M597" s="234"/>
      <c r="N597" s="234"/>
      <c r="O597" s="238"/>
      <c r="P597" s="234"/>
      <c r="Q597" s="234"/>
      <c r="R597" s="234"/>
      <c r="S597" s="234"/>
    </row>
    <row r="598">
      <c r="A598" s="234"/>
      <c r="B598" s="234"/>
      <c r="C598" s="236"/>
      <c r="D598" s="234"/>
      <c r="E598" s="234"/>
      <c r="F598" s="234"/>
      <c r="G598" s="234"/>
      <c r="H598" s="234"/>
      <c r="I598" s="234"/>
      <c r="J598" s="234"/>
      <c r="K598" s="234"/>
      <c r="M598" s="234"/>
      <c r="N598" s="234"/>
      <c r="O598" s="238"/>
      <c r="P598" s="234"/>
      <c r="Q598" s="234"/>
      <c r="R598" s="234"/>
      <c r="S598" s="234"/>
    </row>
    <row r="599">
      <c r="A599" s="234"/>
      <c r="B599" s="234"/>
      <c r="C599" s="236"/>
      <c r="D599" s="234"/>
      <c r="E599" s="234"/>
      <c r="F599" s="234"/>
      <c r="G599" s="234"/>
      <c r="H599" s="234"/>
      <c r="I599" s="234"/>
      <c r="J599" s="234"/>
      <c r="K599" s="234"/>
      <c r="M599" s="234"/>
      <c r="N599" s="234"/>
      <c r="O599" s="238"/>
      <c r="P599" s="234"/>
      <c r="Q599" s="234"/>
      <c r="R599" s="234"/>
      <c r="S599" s="234"/>
    </row>
    <row r="600">
      <c r="A600" s="234"/>
      <c r="B600" s="234"/>
      <c r="C600" s="236"/>
      <c r="D600" s="234"/>
      <c r="E600" s="234"/>
      <c r="F600" s="234"/>
      <c r="G600" s="234"/>
      <c r="H600" s="234"/>
      <c r="I600" s="234"/>
      <c r="J600" s="234"/>
      <c r="K600" s="234"/>
      <c r="M600" s="234"/>
      <c r="N600" s="234"/>
      <c r="O600" s="238"/>
      <c r="P600" s="234"/>
      <c r="Q600" s="234"/>
      <c r="R600" s="234"/>
      <c r="S600" s="234"/>
    </row>
    <row r="601">
      <c r="A601" s="234"/>
      <c r="B601" s="234"/>
      <c r="C601" s="236"/>
      <c r="D601" s="234"/>
      <c r="E601" s="234"/>
      <c r="F601" s="234"/>
      <c r="G601" s="234"/>
      <c r="H601" s="234"/>
      <c r="I601" s="234"/>
      <c r="J601" s="234"/>
      <c r="K601" s="234"/>
      <c r="M601" s="234"/>
      <c r="N601" s="234"/>
      <c r="O601" s="238"/>
      <c r="P601" s="234"/>
      <c r="Q601" s="234"/>
      <c r="R601" s="234"/>
      <c r="S601" s="234"/>
    </row>
    <row r="602">
      <c r="A602" s="234"/>
      <c r="B602" s="234"/>
      <c r="C602" s="236"/>
      <c r="D602" s="234"/>
      <c r="E602" s="234"/>
      <c r="F602" s="234"/>
      <c r="G602" s="234"/>
      <c r="H602" s="234"/>
      <c r="I602" s="234"/>
      <c r="J602" s="234"/>
      <c r="K602" s="234"/>
      <c r="M602" s="234"/>
      <c r="N602" s="234"/>
      <c r="O602" s="238"/>
      <c r="P602" s="234"/>
      <c r="Q602" s="234"/>
      <c r="R602" s="234"/>
      <c r="S602" s="234"/>
    </row>
    <row r="603">
      <c r="A603" s="234"/>
      <c r="B603" s="234"/>
      <c r="C603" s="236"/>
      <c r="D603" s="234"/>
      <c r="E603" s="234"/>
      <c r="F603" s="234"/>
      <c r="G603" s="234"/>
      <c r="H603" s="234"/>
      <c r="I603" s="234"/>
      <c r="J603" s="234"/>
      <c r="K603" s="234"/>
      <c r="M603" s="234"/>
      <c r="N603" s="234"/>
      <c r="O603" s="238"/>
      <c r="P603" s="234"/>
      <c r="Q603" s="234"/>
      <c r="R603" s="234"/>
      <c r="S603" s="234"/>
    </row>
    <row r="604">
      <c r="A604" s="234"/>
      <c r="B604" s="234"/>
      <c r="C604" s="236"/>
      <c r="D604" s="234"/>
      <c r="E604" s="234"/>
      <c r="F604" s="234"/>
      <c r="G604" s="234"/>
      <c r="H604" s="234"/>
      <c r="I604" s="234"/>
      <c r="J604" s="234"/>
      <c r="K604" s="234"/>
      <c r="M604" s="234"/>
      <c r="N604" s="234"/>
      <c r="O604" s="238"/>
      <c r="P604" s="234"/>
      <c r="Q604" s="234"/>
      <c r="R604" s="234"/>
      <c r="S604" s="234"/>
    </row>
    <row r="605">
      <c r="A605" s="234"/>
      <c r="B605" s="234"/>
      <c r="C605" s="236"/>
      <c r="D605" s="234"/>
      <c r="E605" s="234"/>
      <c r="F605" s="234"/>
      <c r="G605" s="234"/>
      <c r="H605" s="234"/>
      <c r="I605" s="234"/>
      <c r="J605" s="234"/>
      <c r="K605" s="234"/>
      <c r="M605" s="234"/>
      <c r="N605" s="234"/>
      <c r="O605" s="238"/>
      <c r="P605" s="234"/>
      <c r="Q605" s="234"/>
      <c r="R605" s="234"/>
      <c r="S605" s="234"/>
    </row>
    <row r="606">
      <c r="A606" s="234"/>
      <c r="B606" s="234"/>
      <c r="C606" s="236"/>
      <c r="D606" s="234"/>
      <c r="E606" s="234"/>
      <c r="F606" s="234"/>
      <c r="G606" s="234"/>
      <c r="H606" s="234"/>
      <c r="I606" s="234"/>
      <c r="J606" s="234"/>
      <c r="K606" s="234"/>
      <c r="M606" s="234"/>
      <c r="N606" s="234"/>
      <c r="O606" s="238"/>
      <c r="P606" s="234"/>
      <c r="Q606" s="234"/>
      <c r="R606" s="234"/>
      <c r="S606" s="234"/>
    </row>
    <row r="607">
      <c r="A607" s="234"/>
      <c r="B607" s="234"/>
      <c r="C607" s="236"/>
      <c r="D607" s="234"/>
      <c r="E607" s="234"/>
      <c r="F607" s="234"/>
      <c r="G607" s="234"/>
      <c r="H607" s="234"/>
      <c r="I607" s="234"/>
      <c r="J607" s="234"/>
      <c r="K607" s="234"/>
      <c r="M607" s="234"/>
      <c r="N607" s="234"/>
      <c r="O607" s="238"/>
      <c r="P607" s="234"/>
      <c r="Q607" s="234"/>
      <c r="R607" s="234"/>
      <c r="S607" s="234"/>
    </row>
    <row r="608">
      <c r="A608" s="234"/>
      <c r="B608" s="234"/>
      <c r="C608" s="236"/>
      <c r="D608" s="234"/>
      <c r="E608" s="234"/>
      <c r="F608" s="234"/>
      <c r="G608" s="234"/>
      <c r="H608" s="234"/>
      <c r="I608" s="234"/>
      <c r="J608" s="234"/>
      <c r="K608" s="234"/>
      <c r="M608" s="234"/>
      <c r="N608" s="234"/>
      <c r="O608" s="238"/>
      <c r="P608" s="234"/>
      <c r="Q608" s="234"/>
      <c r="R608" s="234"/>
      <c r="S608" s="234"/>
    </row>
    <row r="609">
      <c r="A609" s="234"/>
      <c r="B609" s="234"/>
      <c r="C609" s="236"/>
      <c r="D609" s="234"/>
      <c r="E609" s="234"/>
      <c r="F609" s="234"/>
      <c r="G609" s="234"/>
      <c r="H609" s="234"/>
      <c r="I609" s="234"/>
      <c r="J609" s="234"/>
      <c r="K609" s="234"/>
      <c r="M609" s="234"/>
      <c r="N609" s="234"/>
      <c r="O609" s="238"/>
      <c r="P609" s="234"/>
      <c r="Q609" s="234"/>
      <c r="R609" s="234"/>
      <c r="S609" s="234"/>
    </row>
    <row r="610">
      <c r="A610" s="234"/>
      <c r="B610" s="234"/>
      <c r="C610" s="236"/>
      <c r="D610" s="234"/>
      <c r="E610" s="234"/>
      <c r="F610" s="234"/>
      <c r="G610" s="234"/>
      <c r="H610" s="234"/>
      <c r="I610" s="234"/>
      <c r="J610" s="234"/>
      <c r="K610" s="234"/>
      <c r="M610" s="234"/>
      <c r="N610" s="234"/>
      <c r="O610" s="238"/>
      <c r="P610" s="234"/>
      <c r="Q610" s="234"/>
      <c r="R610" s="234"/>
      <c r="S610" s="234"/>
    </row>
    <row r="611">
      <c r="A611" s="234"/>
      <c r="B611" s="234"/>
      <c r="C611" s="236"/>
      <c r="D611" s="234"/>
      <c r="E611" s="234"/>
      <c r="F611" s="234"/>
      <c r="G611" s="234"/>
      <c r="H611" s="234"/>
      <c r="I611" s="234"/>
      <c r="J611" s="234"/>
      <c r="K611" s="234"/>
      <c r="M611" s="234"/>
      <c r="N611" s="234"/>
      <c r="O611" s="238"/>
      <c r="P611" s="234"/>
      <c r="Q611" s="234"/>
      <c r="R611" s="234"/>
      <c r="S611" s="234"/>
    </row>
    <row r="612">
      <c r="A612" s="234"/>
      <c r="B612" s="234"/>
      <c r="C612" s="236"/>
      <c r="D612" s="234"/>
      <c r="E612" s="234"/>
      <c r="F612" s="234"/>
      <c r="G612" s="234"/>
      <c r="H612" s="234"/>
      <c r="I612" s="234"/>
      <c r="J612" s="234"/>
      <c r="K612" s="234"/>
      <c r="M612" s="234"/>
      <c r="N612" s="234"/>
      <c r="O612" s="238"/>
      <c r="P612" s="234"/>
      <c r="Q612" s="234"/>
      <c r="R612" s="234"/>
      <c r="S612" s="234"/>
    </row>
    <row r="613">
      <c r="A613" s="234"/>
      <c r="B613" s="234"/>
      <c r="C613" s="236"/>
      <c r="D613" s="234"/>
      <c r="E613" s="234"/>
      <c r="F613" s="234"/>
      <c r="G613" s="234"/>
      <c r="H613" s="234"/>
      <c r="I613" s="234"/>
      <c r="J613" s="234"/>
      <c r="K613" s="234"/>
      <c r="M613" s="234"/>
      <c r="N613" s="234"/>
      <c r="O613" s="238"/>
      <c r="P613" s="234"/>
      <c r="Q613" s="234"/>
      <c r="R613" s="234"/>
      <c r="S613" s="234"/>
    </row>
    <row r="614">
      <c r="A614" s="234"/>
      <c r="B614" s="234"/>
      <c r="C614" s="236"/>
      <c r="D614" s="234"/>
      <c r="E614" s="234"/>
      <c r="F614" s="234"/>
      <c r="G614" s="234"/>
      <c r="H614" s="234"/>
      <c r="I614" s="234"/>
      <c r="J614" s="234"/>
      <c r="K614" s="234"/>
      <c r="M614" s="234"/>
      <c r="N614" s="234"/>
      <c r="O614" s="238"/>
      <c r="P614" s="234"/>
      <c r="Q614" s="234"/>
      <c r="R614" s="234"/>
      <c r="S614" s="234"/>
    </row>
    <row r="615">
      <c r="A615" s="234"/>
      <c r="B615" s="234"/>
      <c r="C615" s="236"/>
      <c r="D615" s="234"/>
      <c r="E615" s="234"/>
      <c r="F615" s="234"/>
      <c r="G615" s="234"/>
      <c r="H615" s="234"/>
      <c r="I615" s="234"/>
      <c r="J615" s="234"/>
      <c r="K615" s="234"/>
      <c r="M615" s="234"/>
      <c r="N615" s="234"/>
      <c r="O615" s="238"/>
      <c r="P615" s="234"/>
      <c r="Q615" s="234"/>
      <c r="R615" s="234"/>
      <c r="S615" s="234"/>
    </row>
    <row r="616">
      <c r="A616" s="234"/>
      <c r="B616" s="234"/>
      <c r="C616" s="236"/>
      <c r="D616" s="234"/>
      <c r="E616" s="234"/>
      <c r="F616" s="234"/>
      <c r="G616" s="234"/>
      <c r="H616" s="234"/>
      <c r="I616" s="234"/>
      <c r="J616" s="234"/>
      <c r="K616" s="234"/>
      <c r="M616" s="234"/>
      <c r="N616" s="234"/>
      <c r="O616" s="238"/>
      <c r="P616" s="234"/>
      <c r="Q616" s="234"/>
      <c r="R616" s="234"/>
      <c r="S616" s="234"/>
    </row>
    <row r="617">
      <c r="A617" s="234"/>
      <c r="B617" s="234"/>
      <c r="C617" s="236"/>
      <c r="D617" s="234"/>
      <c r="E617" s="234"/>
      <c r="F617" s="234"/>
      <c r="G617" s="234"/>
      <c r="H617" s="234"/>
      <c r="I617" s="234"/>
      <c r="J617" s="234"/>
      <c r="K617" s="234"/>
      <c r="M617" s="234"/>
      <c r="N617" s="234"/>
      <c r="O617" s="238"/>
      <c r="P617" s="234"/>
      <c r="Q617" s="234"/>
      <c r="R617" s="234"/>
      <c r="S617" s="234"/>
    </row>
    <row r="618">
      <c r="A618" s="234"/>
      <c r="B618" s="234"/>
      <c r="C618" s="236"/>
      <c r="D618" s="234"/>
      <c r="E618" s="234"/>
      <c r="F618" s="234"/>
      <c r="G618" s="234"/>
      <c r="H618" s="234"/>
      <c r="I618" s="234"/>
      <c r="J618" s="234"/>
      <c r="K618" s="234"/>
      <c r="M618" s="234"/>
      <c r="N618" s="234"/>
      <c r="O618" s="238"/>
      <c r="P618" s="234"/>
      <c r="Q618" s="234"/>
      <c r="R618" s="234"/>
      <c r="S618" s="234"/>
    </row>
    <row r="619">
      <c r="A619" s="234"/>
      <c r="B619" s="234"/>
      <c r="C619" s="236"/>
      <c r="D619" s="234"/>
      <c r="E619" s="234"/>
      <c r="F619" s="234"/>
      <c r="G619" s="234"/>
      <c r="H619" s="234"/>
      <c r="I619" s="234"/>
      <c r="J619" s="234"/>
      <c r="K619" s="234"/>
      <c r="M619" s="234"/>
      <c r="N619" s="234"/>
      <c r="O619" s="238"/>
      <c r="P619" s="234"/>
      <c r="Q619" s="234"/>
      <c r="R619" s="234"/>
      <c r="S619" s="234"/>
    </row>
    <row r="620">
      <c r="A620" s="234"/>
      <c r="B620" s="234"/>
      <c r="C620" s="236"/>
      <c r="D620" s="234"/>
      <c r="E620" s="234"/>
      <c r="F620" s="234"/>
      <c r="G620" s="234"/>
      <c r="H620" s="234"/>
      <c r="I620" s="234"/>
      <c r="J620" s="234"/>
      <c r="K620" s="234"/>
      <c r="M620" s="234"/>
      <c r="N620" s="234"/>
      <c r="O620" s="238"/>
      <c r="P620" s="234"/>
      <c r="Q620" s="234"/>
      <c r="R620" s="234"/>
      <c r="S620" s="234"/>
    </row>
    <row r="621">
      <c r="A621" s="234"/>
      <c r="B621" s="234"/>
      <c r="C621" s="236"/>
      <c r="D621" s="234"/>
      <c r="E621" s="234"/>
      <c r="F621" s="234"/>
      <c r="G621" s="234"/>
      <c r="H621" s="234"/>
      <c r="I621" s="234"/>
      <c r="J621" s="234"/>
      <c r="K621" s="234"/>
      <c r="M621" s="234"/>
      <c r="N621" s="234"/>
      <c r="O621" s="238"/>
      <c r="P621" s="234"/>
      <c r="Q621" s="234"/>
      <c r="R621" s="234"/>
      <c r="S621" s="234"/>
    </row>
    <row r="622">
      <c r="A622" s="234"/>
      <c r="B622" s="234"/>
      <c r="C622" s="236"/>
      <c r="D622" s="234"/>
      <c r="E622" s="234"/>
      <c r="F622" s="234"/>
      <c r="G622" s="234"/>
      <c r="H622" s="234"/>
      <c r="I622" s="234"/>
      <c r="J622" s="234"/>
      <c r="K622" s="234"/>
      <c r="M622" s="234"/>
      <c r="N622" s="234"/>
      <c r="O622" s="238"/>
      <c r="P622" s="234"/>
      <c r="Q622" s="234"/>
      <c r="R622" s="234"/>
      <c r="S622" s="234"/>
    </row>
    <row r="623">
      <c r="A623" s="234"/>
      <c r="B623" s="234"/>
      <c r="C623" s="236"/>
      <c r="D623" s="234"/>
      <c r="E623" s="234"/>
      <c r="F623" s="234"/>
      <c r="G623" s="234"/>
      <c r="H623" s="234"/>
      <c r="I623" s="234"/>
      <c r="J623" s="234"/>
      <c r="K623" s="234"/>
      <c r="M623" s="234"/>
      <c r="N623" s="234"/>
      <c r="O623" s="238"/>
      <c r="P623" s="234"/>
      <c r="Q623" s="234"/>
      <c r="R623" s="234"/>
      <c r="S623" s="234"/>
    </row>
    <row r="624">
      <c r="A624" s="234"/>
      <c r="B624" s="234"/>
      <c r="C624" s="236"/>
      <c r="D624" s="234"/>
      <c r="E624" s="234"/>
      <c r="F624" s="234"/>
      <c r="G624" s="234"/>
      <c r="H624" s="234"/>
      <c r="I624" s="234"/>
      <c r="J624" s="234"/>
      <c r="K624" s="234"/>
      <c r="M624" s="234"/>
      <c r="N624" s="234"/>
      <c r="O624" s="238"/>
      <c r="P624" s="234"/>
      <c r="Q624" s="234"/>
      <c r="R624" s="234"/>
      <c r="S624" s="234"/>
    </row>
    <row r="625">
      <c r="A625" s="234"/>
      <c r="B625" s="234"/>
      <c r="C625" s="236"/>
      <c r="D625" s="234"/>
      <c r="E625" s="234"/>
      <c r="F625" s="234"/>
      <c r="G625" s="234"/>
      <c r="H625" s="234"/>
      <c r="I625" s="234"/>
      <c r="J625" s="234"/>
      <c r="K625" s="234"/>
      <c r="M625" s="234"/>
      <c r="N625" s="234"/>
      <c r="O625" s="238"/>
      <c r="P625" s="234"/>
      <c r="Q625" s="234"/>
      <c r="R625" s="234"/>
      <c r="S625" s="234"/>
    </row>
    <row r="626">
      <c r="A626" s="234"/>
      <c r="B626" s="234"/>
      <c r="C626" s="236"/>
      <c r="D626" s="234"/>
      <c r="E626" s="234"/>
      <c r="F626" s="234"/>
      <c r="G626" s="234"/>
      <c r="H626" s="234"/>
      <c r="I626" s="234"/>
      <c r="J626" s="234"/>
      <c r="K626" s="234"/>
      <c r="M626" s="234"/>
      <c r="N626" s="234"/>
      <c r="O626" s="238"/>
      <c r="P626" s="234"/>
      <c r="Q626" s="234"/>
      <c r="R626" s="234"/>
      <c r="S626" s="234"/>
    </row>
    <row r="627">
      <c r="A627" s="234"/>
      <c r="B627" s="234"/>
      <c r="C627" s="236"/>
      <c r="D627" s="234"/>
      <c r="E627" s="234"/>
      <c r="F627" s="234"/>
      <c r="G627" s="234"/>
      <c r="H627" s="234"/>
      <c r="I627" s="234"/>
      <c r="J627" s="234"/>
      <c r="K627" s="234"/>
      <c r="M627" s="234"/>
      <c r="N627" s="234"/>
      <c r="O627" s="238"/>
      <c r="P627" s="234"/>
      <c r="Q627" s="234"/>
      <c r="R627" s="234"/>
      <c r="S627" s="234"/>
    </row>
    <row r="628">
      <c r="A628" s="234"/>
      <c r="B628" s="234"/>
      <c r="C628" s="236"/>
      <c r="D628" s="234"/>
      <c r="E628" s="234"/>
      <c r="F628" s="234"/>
      <c r="G628" s="234"/>
      <c r="H628" s="234"/>
      <c r="I628" s="234"/>
      <c r="J628" s="234"/>
      <c r="K628" s="234"/>
      <c r="M628" s="234"/>
      <c r="N628" s="234"/>
      <c r="O628" s="238"/>
      <c r="P628" s="234"/>
      <c r="Q628" s="234"/>
      <c r="R628" s="234"/>
      <c r="S628" s="234"/>
    </row>
    <row r="629">
      <c r="A629" s="234"/>
      <c r="B629" s="234"/>
      <c r="C629" s="236"/>
      <c r="D629" s="234"/>
      <c r="E629" s="234"/>
      <c r="F629" s="234"/>
      <c r="G629" s="234"/>
      <c r="H629" s="234"/>
      <c r="I629" s="234"/>
      <c r="J629" s="234"/>
      <c r="K629" s="234"/>
      <c r="M629" s="234"/>
      <c r="N629" s="234"/>
      <c r="O629" s="238"/>
      <c r="P629" s="234"/>
      <c r="Q629" s="234"/>
      <c r="R629" s="234"/>
      <c r="S629" s="234"/>
    </row>
    <row r="630">
      <c r="A630" s="234"/>
      <c r="B630" s="234"/>
      <c r="C630" s="236"/>
      <c r="D630" s="234"/>
      <c r="E630" s="234"/>
      <c r="F630" s="234"/>
      <c r="G630" s="234"/>
      <c r="H630" s="234"/>
      <c r="I630" s="234"/>
      <c r="J630" s="234"/>
      <c r="K630" s="234"/>
      <c r="M630" s="234"/>
      <c r="N630" s="234"/>
      <c r="O630" s="238"/>
      <c r="P630" s="234"/>
      <c r="Q630" s="234"/>
      <c r="R630" s="234"/>
      <c r="S630" s="234"/>
    </row>
    <row r="631">
      <c r="A631" s="234"/>
      <c r="B631" s="234"/>
      <c r="C631" s="236"/>
      <c r="D631" s="234"/>
      <c r="E631" s="234"/>
      <c r="F631" s="234"/>
      <c r="G631" s="234"/>
      <c r="H631" s="234"/>
      <c r="I631" s="234"/>
      <c r="J631" s="234"/>
      <c r="K631" s="234"/>
      <c r="M631" s="234"/>
      <c r="N631" s="234"/>
      <c r="O631" s="238"/>
      <c r="P631" s="234"/>
      <c r="Q631" s="234"/>
      <c r="R631" s="234"/>
      <c r="S631" s="234"/>
    </row>
    <row r="632">
      <c r="A632" s="234"/>
      <c r="B632" s="234"/>
      <c r="C632" s="236"/>
      <c r="D632" s="234"/>
      <c r="E632" s="234"/>
      <c r="F632" s="234"/>
      <c r="G632" s="234"/>
      <c r="H632" s="234"/>
      <c r="I632" s="234"/>
      <c r="J632" s="234"/>
      <c r="K632" s="234"/>
      <c r="M632" s="234"/>
      <c r="N632" s="234"/>
      <c r="O632" s="238"/>
      <c r="P632" s="234"/>
      <c r="Q632" s="234"/>
      <c r="R632" s="234"/>
      <c r="S632" s="234"/>
    </row>
    <row r="633">
      <c r="A633" s="234"/>
      <c r="B633" s="234"/>
      <c r="C633" s="236"/>
      <c r="D633" s="234"/>
      <c r="E633" s="234"/>
      <c r="F633" s="234"/>
      <c r="G633" s="234"/>
      <c r="H633" s="234"/>
      <c r="I633" s="234"/>
      <c r="J633" s="234"/>
      <c r="K633" s="234"/>
      <c r="M633" s="234"/>
      <c r="N633" s="234"/>
      <c r="O633" s="238"/>
      <c r="P633" s="234"/>
      <c r="Q633" s="234"/>
      <c r="R633" s="234"/>
      <c r="S633" s="234"/>
    </row>
    <row r="634">
      <c r="A634" s="234"/>
      <c r="B634" s="234"/>
      <c r="C634" s="236"/>
      <c r="D634" s="234"/>
      <c r="E634" s="234"/>
      <c r="F634" s="234"/>
      <c r="G634" s="234"/>
      <c r="H634" s="234"/>
      <c r="I634" s="234"/>
      <c r="J634" s="234"/>
      <c r="K634" s="234"/>
      <c r="M634" s="234"/>
      <c r="N634" s="234"/>
      <c r="O634" s="238"/>
      <c r="P634" s="234"/>
      <c r="Q634" s="234"/>
      <c r="R634" s="234"/>
      <c r="S634" s="234"/>
    </row>
    <row r="635">
      <c r="A635" s="234"/>
      <c r="B635" s="234"/>
      <c r="C635" s="236"/>
      <c r="D635" s="234"/>
      <c r="E635" s="234"/>
      <c r="F635" s="234"/>
      <c r="G635" s="234"/>
      <c r="H635" s="234"/>
      <c r="I635" s="234"/>
      <c r="J635" s="234"/>
      <c r="K635" s="234"/>
      <c r="M635" s="234"/>
      <c r="N635" s="234"/>
      <c r="O635" s="238"/>
      <c r="P635" s="234"/>
      <c r="Q635" s="234"/>
      <c r="R635" s="234"/>
      <c r="S635" s="234"/>
    </row>
    <row r="636">
      <c r="A636" s="234"/>
      <c r="B636" s="234"/>
      <c r="C636" s="236"/>
      <c r="D636" s="234"/>
      <c r="E636" s="234"/>
      <c r="F636" s="234"/>
      <c r="G636" s="234"/>
      <c r="H636" s="234"/>
      <c r="I636" s="234"/>
      <c r="J636" s="234"/>
      <c r="K636" s="234"/>
      <c r="M636" s="234"/>
      <c r="N636" s="234"/>
      <c r="O636" s="238"/>
      <c r="P636" s="234"/>
      <c r="Q636" s="234"/>
      <c r="R636" s="234"/>
      <c r="S636" s="234"/>
    </row>
    <row r="637">
      <c r="A637" s="234"/>
      <c r="B637" s="234"/>
      <c r="C637" s="236"/>
      <c r="D637" s="234"/>
      <c r="E637" s="234"/>
      <c r="F637" s="234"/>
      <c r="G637" s="234"/>
      <c r="H637" s="234"/>
      <c r="I637" s="234"/>
      <c r="J637" s="234"/>
      <c r="K637" s="234"/>
      <c r="M637" s="234"/>
      <c r="N637" s="234"/>
      <c r="O637" s="238"/>
      <c r="P637" s="234"/>
      <c r="Q637" s="234"/>
      <c r="R637" s="234"/>
      <c r="S637" s="234"/>
    </row>
    <row r="638">
      <c r="A638" s="234"/>
      <c r="B638" s="234"/>
      <c r="C638" s="236"/>
      <c r="D638" s="234"/>
      <c r="E638" s="234"/>
      <c r="F638" s="234"/>
      <c r="G638" s="234"/>
      <c r="H638" s="234"/>
      <c r="I638" s="234"/>
      <c r="J638" s="234"/>
      <c r="K638" s="234"/>
      <c r="M638" s="234"/>
      <c r="N638" s="234"/>
      <c r="O638" s="238"/>
      <c r="P638" s="234"/>
      <c r="Q638" s="234"/>
      <c r="R638" s="234"/>
      <c r="S638" s="234"/>
    </row>
    <row r="639">
      <c r="A639" s="234"/>
      <c r="B639" s="234"/>
      <c r="C639" s="236"/>
      <c r="D639" s="234"/>
      <c r="E639" s="234"/>
      <c r="F639" s="234"/>
      <c r="G639" s="234"/>
      <c r="H639" s="234"/>
      <c r="I639" s="234"/>
      <c r="J639" s="234"/>
      <c r="K639" s="234"/>
      <c r="M639" s="234"/>
      <c r="N639" s="234"/>
      <c r="O639" s="238"/>
      <c r="P639" s="234"/>
      <c r="Q639" s="234"/>
      <c r="R639" s="234"/>
      <c r="S639" s="234"/>
    </row>
    <row r="640">
      <c r="A640" s="234"/>
      <c r="B640" s="234"/>
      <c r="C640" s="236"/>
      <c r="D640" s="234"/>
      <c r="E640" s="234"/>
      <c r="F640" s="234"/>
      <c r="G640" s="234"/>
      <c r="H640" s="234"/>
      <c r="I640" s="234"/>
      <c r="J640" s="234"/>
      <c r="K640" s="234"/>
      <c r="M640" s="234"/>
      <c r="N640" s="234"/>
      <c r="O640" s="238"/>
      <c r="P640" s="234"/>
      <c r="Q640" s="234"/>
      <c r="R640" s="234"/>
      <c r="S640" s="234"/>
    </row>
    <row r="641">
      <c r="A641" s="234"/>
      <c r="B641" s="234"/>
      <c r="C641" s="236"/>
      <c r="D641" s="234"/>
      <c r="E641" s="234"/>
      <c r="F641" s="234"/>
      <c r="G641" s="234"/>
      <c r="H641" s="234"/>
      <c r="I641" s="234"/>
      <c r="J641" s="234"/>
      <c r="K641" s="234"/>
      <c r="M641" s="234"/>
      <c r="N641" s="234"/>
      <c r="O641" s="238"/>
      <c r="P641" s="234"/>
      <c r="Q641" s="234"/>
      <c r="R641" s="234"/>
      <c r="S641" s="234"/>
    </row>
    <row r="642">
      <c r="A642" s="234"/>
      <c r="B642" s="234"/>
      <c r="C642" s="236"/>
      <c r="D642" s="234"/>
      <c r="E642" s="234"/>
      <c r="F642" s="234"/>
      <c r="G642" s="234"/>
      <c r="H642" s="234"/>
      <c r="I642" s="234"/>
      <c r="J642" s="234"/>
      <c r="K642" s="234"/>
      <c r="M642" s="234"/>
      <c r="N642" s="234"/>
      <c r="O642" s="238"/>
      <c r="P642" s="234"/>
      <c r="Q642" s="234"/>
      <c r="R642" s="234"/>
      <c r="S642" s="234"/>
    </row>
    <row r="643">
      <c r="A643" s="234"/>
      <c r="B643" s="234"/>
      <c r="C643" s="236"/>
      <c r="D643" s="234"/>
      <c r="E643" s="234"/>
      <c r="F643" s="234"/>
      <c r="G643" s="234"/>
      <c r="H643" s="234"/>
      <c r="I643" s="234"/>
      <c r="J643" s="234"/>
      <c r="K643" s="234"/>
      <c r="M643" s="234"/>
      <c r="N643" s="234"/>
      <c r="O643" s="238"/>
      <c r="P643" s="234"/>
      <c r="Q643" s="234"/>
      <c r="R643" s="234"/>
      <c r="S643" s="234"/>
    </row>
    <row r="644">
      <c r="A644" s="234"/>
      <c r="B644" s="234"/>
      <c r="C644" s="236"/>
      <c r="D644" s="234"/>
      <c r="E644" s="234"/>
      <c r="F644" s="234"/>
      <c r="G644" s="234"/>
      <c r="H644" s="234"/>
      <c r="I644" s="234"/>
      <c r="J644" s="234"/>
      <c r="K644" s="234"/>
      <c r="M644" s="234"/>
      <c r="N644" s="234"/>
      <c r="O644" s="238"/>
      <c r="P644" s="234"/>
      <c r="Q644" s="234"/>
      <c r="R644" s="234"/>
      <c r="S644" s="234"/>
    </row>
    <row r="645">
      <c r="A645" s="234"/>
      <c r="B645" s="234"/>
      <c r="C645" s="236"/>
      <c r="D645" s="234"/>
      <c r="E645" s="234"/>
      <c r="F645" s="234"/>
      <c r="G645" s="234"/>
      <c r="H645" s="234"/>
      <c r="I645" s="234"/>
      <c r="J645" s="234"/>
      <c r="K645" s="234"/>
      <c r="M645" s="234"/>
      <c r="N645" s="234"/>
      <c r="O645" s="238"/>
      <c r="P645" s="234"/>
      <c r="Q645" s="234"/>
      <c r="R645" s="234"/>
      <c r="S645" s="234"/>
    </row>
    <row r="646">
      <c r="A646" s="234"/>
      <c r="B646" s="234"/>
      <c r="C646" s="236"/>
      <c r="D646" s="234"/>
      <c r="E646" s="234"/>
      <c r="F646" s="234"/>
      <c r="G646" s="234"/>
      <c r="H646" s="234"/>
      <c r="I646" s="234"/>
      <c r="J646" s="234"/>
      <c r="K646" s="234"/>
      <c r="M646" s="234"/>
      <c r="N646" s="234"/>
      <c r="O646" s="238"/>
      <c r="P646" s="234"/>
      <c r="Q646" s="234"/>
      <c r="R646" s="234"/>
      <c r="S646" s="234"/>
    </row>
    <row r="647">
      <c r="A647" s="234"/>
      <c r="B647" s="234"/>
      <c r="C647" s="236"/>
      <c r="D647" s="234"/>
      <c r="E647" s="234"/>
      <c r="F647" s="234"/>
      <c r="G647" s="234"/>
      <c r="H647" s="234"/>
      <c r="I647" s="234"/>
      <c r="J647" s="234"/>
      <c r="K647" s="234"/>
      <c r="M647" s="234"/>
      <c r="N647" s="234"/>
      <c r="O647" s="238"/>
      <c r="P647" s="234"/>
      <c r="Q647" s="234"/>
      <c r="R647" s="234"/>
      <c r="S647" s="234"/>
    </row>
    <row r="648">
      <c r="A648" s="234"/>
      <c r="B648" s="234"/>
      <c r="C648" s="236"/>
      <c r="D648" s="234"/>
      <c r="E648" s="234"/>
      <c r="F648" s="234"/>
      <c r="G648" s="234"/>
      <c r="H648" s="234"/>
      <c r="I648" s="234"/>
      <c r="J648" s="234"/>
      <c r="K648" s="234"/>
      <c r="M648" s="234"/>
      <c r="N648" s="234"/>
      <c r="O648" s="238"/>
      <c r="P648" s="234"/>
      <c r="Q648" s="234"/>
      <c r="R648" s="234"/>
      <c r="S648" s="234"/>
    </row>
    <row r="649">
      <c r="A649" s="234"/>
      <c r="B649" s="234"/>
      <c r="C649" s="236"/>
      <c r="D649" s="234"/>
      <c r="E649" s="234"/>
      <c r="F649" s="234"/>
      <c r="G649" s="234"/>
      <c r="H649" s="234"/>
      <c r="I649" s="234"/>
      <c r="J649" s="234"/>
      <c r="K649" s="234"/>
      <c r="M649" s="234"/>
      <c r="N649" s="234"/>
      <c r="O649" s="238"/>
      <c r="P649" s="234"/>
      <c r="Q649" s="234"/>
      <c r="R649" s="234"/>
      <c r="S649" s="234"/>
    </row>
    <row r="650">
      <c r="A650" s="234"/>
      <c r="B650" s="234"/>
      <c r="C650" s="236"/>
      <c r="D650" s="234"/>
      <c r="E650" s="234"/>
      <c r="F650" s="234"/>
      <c r="G650" s="234"/>
      <c r="H650" s="234"/>
      <c r="I650" s="234"/>
      <c r="J650" s="234"/>
      <c r="K650" s="234"/>
      <c r="M650" s="234"/>
      <c r="N650" s="234"/>
      <c r="O650" s="238"/>
      <c r="P650" s="234"/>
      <c r="Q650" s="234"/>
      <c r="R650" s="234"/>
      <c r="S650" s="234"/>
    </row>
    <row r="651">
      <c r="A651" s="234"/>
      <c r="B651" s="234"/>
      <c r="C651" s="236"/>
      <c r="D651" s="234"/>
      <c r="E651" s="234"/>
      <c r="F651" s="234"/>
      <c r="G651" s="234"/>
      <c r="H651" s="234"/>
      <c r="I651" s="234"/>
      <c r="J651" s="234"/>
      <c r="K651" s="234"/>
      <c r="M651" s="234"/>
      <c r="N651" s="234"/>
      <c r="O651" s="238"/>
      <c r="P651" s="234"/>
      <c r="Q651" s="234"/>
      <c r="R651" s="234"/>
      <c r="S651" s="234"/>
    </row>
    <row r="652">
      <c r="A652" s="234"/>
      <c r="B652" s="234"/>
      <c r="C652" s="236"/>
      <c r="D652" s="234"/>
      <c r="E652" s="234"/>
      <c r="F652" s="234"/>
      <c r="G652" s="234"/>
      <c r="H652" s="234"/>
      <c r="I652" s="234"/>
      <c r="J652" s="234"/>
      <c r="K652" s="234"/>
      <c r="M652" s="234"/>
      <c r="N652" s="234"/>
      <c r="O652" s="238"/>
      <c r="P652" s="234"/>
      <c r="Q652" s="234"/>
      <c r="R652" s="234"/>
      <c r="S652" s="234"/>
    </row>
    <row r="653">
      <c r="A653" s="234"/>
      <c r="B653" s="234"/>
      <c r="C653" s="236"/>
      <c r="D653" s="234"/>
      <c r="E653" s="234"/>
      <c r="F653" s="234"/>
      <c r="G653" s="234"/>
      <c r="H653" s="234"/>
      <c r="I653" s="234"/>
      <c r="J653" s="234"/>
      <c r="K653" s="234"/>
      <c r="M653" s="234"/>
      <c r="N653" s="234"/>
      <c r="O653" s="238"/>
      <c r="P653" s="234"/>
      <c r="Q653" s="234"/>
      <c r="R653" s="234"/>
      <c r="S653" s="234"/>
    </row>
    <row r="654">
      <c r="A654" s="234"/>
      <c r="B654" s="234"/>
      <c r="C654" s="236"/>
      <c r="D654" s="234"/>
      <c r="E654" s="234"/>
      <c r="F654" s="234"/>
      <c r="G654" s="234"/>
      <c r="H654" s="234"/>
      <c r="I654" s="234"/>
      <c r="J654" s="234"/>
      <c r="K654" s="234"/>
      <c r="M654" s="234"/>
      <c r="N654" s="234"/>
      <c r="O654" s="238"/>
      <c r="P654" s="234"/>
      <c r="Q654" s="234"/>
      <c r="R654" s="234"/>
      <c r="S654" s="234"/>
    </row>
    <row r="655">
      <c r="A655" s="234"/>
      <c r="B655" s="234"/>
      <c r="C655" s="236"/>
      <c r="D655" s="234"/>
      <c r="E655" s="234"/>
      <c r="F655" s="234"/>
      <c r="G655" s="234"/>
      <c r="H655" s="234"/>
      <c r="I655" s="234"/>
      <c r="J655" s="234"/>
      <c r="K655" s="234"/>
      <c r="M655" s="234"/>
      <c r="N655" s="234"/>
      <c r="O655" s="238"/>
      <c r="P655" s="234"/>
      <c r="Q655" s="234"/>
      <c r="R655" s="234"/>
      <c r="S655" s="234"/>
    </row>
    <row r="656">
      <c r="A656" s="234"/>
      <c r="B656" s="234"/>
      <c r="C656" s="236"/>
      <c r="D656" s="234"/>
      <c r="E656" s="234"/>
      <c r="F656" s="234"/>
      <c r="G656" s="234"/>
      <c r="H656" s="234"/>
      <c r="I656" s="234"/>
      <c r="J656" s="234"/>
      <c r="K656" s="234"/>
      <c r="M656" s="234"/>
      <c r="N656" s="234"/>
      <c r="O656" s="238"/>
      <c r="P656" s="234"/>
      <c r="Q656" s="234"/>
      <c r="R656" s="234"/>
      <c r="S656" s="234"/>
    </row>
    <row r="657">
      <c r="A657" s="234"/>
      <c r="B657" s="234"/>
      <c r="C657" s="236"/>
      <c r="D657" s="234"/>
      <c r="E657" s="234"/>
      <c r="F657" s="234"/>
      <c r="G657" s="234"/>
      <c r="H657" s="234"/>
      <c r="I657" s="234"/>
      <c r="J657" s="234"/>
      <c r="K657" s="234"/>
      <c r="M657" s="234"/>
      <c r="N657" s="234"/>
      <c r="O657" s="238"/>
      <c r="P657" s="234"/>
      <c r="Q657" s="234"/>
      <c r="R657" s="234"/>
      <c r="S657" s="234"/>
    </row>
    <row r="658">
      <c r="A658" s="234"/>
      <c r="B658" s="234"/>
      <c r="C658" s="236"/>
      <c r="D658" s="234"/>
      <c r="E658" s="234"/>
      <c r="F658" s="234"/>
      <c r="G658" s="234"/>
      <c r="H658" s="234"/>
      <c r="I658" s="234"/>
      <c r="J658" s="234"/>
      <c r="K658" s="234"/>
      <c r="M658" s="234"/>
      <c r="N658" s="234"/>
      <c r="O658" s="238"/>
      <c r="P658" s="234"/>
      <c r="Q658" s="234"/>
      <c r="R658" s="234"/>
      <c r="S658" s="234"/>
    </row>
    <row r="659">
      <c r="A659" s="234"/>
      <c r="B659" s="234"/>
      <c r="C659" s="236"/>
      <c r="D659" s="234"/>
      <c r="E659" s="234"/>
      <c r="F659" s="234"/>
      <c r="G659" s="234"/>
      <c r="H659" s="234"/>
      <c r="I659" s="234"/>
      <c r="J659" s="234"/>
      <c r="K659" s="234"/>
      <c r="M659" s="234"/>
      <c r="N659" s="234"/>
      <c r="O659" s="238"/>
      <c r="P659" s="234"/>
      <c r="Q659" s="234"/>
      <c r="R659" s="234"/>
      <c r="S659" s="234"/>
    </row>
    <row r="660">
      <c r="A660" s="234"/>
      <c r="B660" s="234"/>
      <c r="C660" s="236"/>
      <c r="D660" s="234"/>
      <c r="E660" s="234"/>
      <c r="F660" s="234"/>
      <c r="G660" s="234"/>
      <c r="H660" s="234"/>
      <c r="I660" s="234"/>
      <c r="J660" s="234"/>
      <c r="K660" s="234"/>
      <c r="M660" s="234"/>
      <c r="N660" s="234"/>
      <c r="O660" s="238"/>
      <c r="P660" s="234"/>
      <c r="Q660" s="234"/>
      <c r="R660" s="234"/>
      <c r="S660" s="234"/>
    </row>
    <row r="661">
      <c r="A661" s="234"/>
      <c r="B661" s="234"/>
      <c r="C661" s="236"/>
      <c r="D661" s="234"/>
      <c r="E661" s="234"/>
      <c r="F661" s="234"/>
      <c r="G661" s="234"/>
      <c r="H661" s="234"/>
      <c r="I661" s="234"/>
      <c r="J661" s="234"/>
      <c r="K661" s="234"/>
      <c r="M661" s="234"/>
      <c r="N661" s="234"/>
      <c r="O661" s="238"/>
      <c r="P661" s="234"/>
      <c r="Q661" s="234"/>
      <c r="R661" s="234"/>
      <c r="S661" s="234"/>
    </row>
    <row r="662">
      <c r="A662" s="234"/>
      <c r="B662" s="234"/>
      <c r="C662" s="236"/>
      <c r="D662" s="234"/>
      <c r="E662" s="234"/>
      <c r="F662" s="234"/>
      <c r="G662" s="234"/>
      <c r="H662" s="234"/>
      <c r="I662" s="234"/>
      <c r="J662" s="234"/>
      <c r="K662" s="234"/>
      <c r="M662" s="234"/>
      <c r="N662" s="234"/>
      <c r="O662" s="238"/>
      <c r="P662" s="234"/>
      <c r="Q662" s="234"/>
      <c r="R662" s="234"/>
      <c r="S662" s="234"/>
    </row>
    <row r="663">
      <c r="A663" s="234"/>
      <c r="B663" s="234"/>
      <c r="C663" s="236"/>
      <c r="D663" s="234"/>
      <c r="E663" s="234"/>
      <c r="F663" s="234"/>
      <c r="G663" s="234"/>
      <c r="H663" s="234"/>
      <c r="I663" s="234"/>
      <c r="J663" s="234"/>
      <c r="K663" s="234"/>
      <c r="M663" s="234"/>
      <c r="N663" s="234"/>
      <c r="O663" s="238"/>
      <c r="P663" s="234"/>
      <c r="Q663" s="234"/>
      <c r="R663" s="234"/>
      <c r="S663" s="234"/>
    </row>
    <row r="664">
      <c r="A664" s="234"/>
      <c r="B664" s="234"/>
      <c r="C664" s="236"/>
      <c r="D664" s="234"/>
      <c r="E664" s="234"/>
      <c r="F664" s="234"/>
      <c r="G664" s="234"/>
      <c r="H664" s="234"/>
      <c r="I664" s="234"/>
      <c r="J664" s="234"/>
      <c r="K664" s="234"/>
      <c r="M664" s="234"/>
      <c r="N664" s="234"/>
      <c r="O664" s="238"/>
      <c r="P664" s="234"/>
      <c r="Q664" s="234"/>
      <c r="R664" s="234"/>
      <c r="S664" s="234"/>
    </row>
    <row r="665">
      <c r="A665" s="234"/>
      <c r="B665" s="234"/>
      <c r="C665" s="236"/>
      <c r="D665" s="234"/>
      <c r="E665" s="234"/>
      <c r="F665" s="234"/>
      <c r="G665" s="234"/>
      <c r="H665" s="234"/>
      <c r="I665" s="234"/>
      <c r="J665" s="234"/>
      <c r="K665" s="234"/>
      <c r="M665" s="234"/>
      <c r="N665" s="234"/>
      <c r="O665" s="238"/>
      <c r="P665" s="234"/>
      <c r="Q665" s="234"/>
      <c r="R665" s="234"/>
      <c r="S665" s="234"/>
    </row>
    <row r="666">
      <c r="A666" s="234"/>
      <c r="B666" s="234"/>
      <c r="C666" s="236"/>
      <c r="D666" s="234"/>
      <c r="E666" s="234"/>
      <c r="F666" s="234"/>
      <c r="G666" s="234"/>
      <c r="H666" s="234"/>
      <c r="I666" s="234"/>
      <c r="J666" s="234"/>
      <c r="K666" s="234"/>
      <c r="M666" s="234"/>
      <c r="N666" s="234"/>
      <c r="O666" s="238"/>
      <c r="P666" s="234"/>
      <c r="Q666" s="234"/>
      <c r="R666" s="234"/>
      <c r="S666" s="234"/>
    </row>
    <row r="667">
      <c r="A667" s="234"/>
      <c r="B667" s="234"/>
      <c r="C667" s="236"/>
      <c r="D667" s="234"/>
      <c r="E667" s="234"/>
      <c r="F667" s="234"/>
      <c r="G667" s="234"/>
      <c r="H667" s="234"/>
      <c r="I667" s="234"/>
      <c r="J667" s="234"/>
      <c r="K667" s="234"/>
      <c r="M667" s="234"/>
      <c r="N667" s="234"/>
      <c r="O667" s="238"/>
      <c r="P667" s="234"/>
      <c r="Q667" s="234"/>
      <c r="R667" s="234"/>
      <c r="S667" s="234"/>
    </row>
    <row r="668">
      <c r="A668" s="234"/>
      <c r="B668" s="234"/>
      <c r="C668" s="236"/>
      <c r="D668" s="234"/>
      <c r="E668" s="234"/>
      <c r="F668" s="234"/>
      <c r="G668" s="234"/>
      <c r="H668" s="234"/>
      <c r="I668" s="234"/>
      <c r="J668" s="234"/>
      <c r="K668" s="234"/>
      <c r="M668" s="234"/>
      <c r="N668" s="234"/>
      <c r="O668" s="238"/>
      <c r="P668" s="234"/>
      <c r="Q668" s="234"/>
      <c r="R668" s="234"/>
      <c r="S668" s="234"/>
    </row>
    <row r="669">
      <c r="A669" s="234"/>
      <c r="B669" s="234"/>
      <c r="C669" s="236"/>
      <c r="D669" s="234"/>
      <c r="E669" s="234"/>
      <c r="F669" s="234"/>
      <c r="G669" s="234"/>
      <c r="H669" s="234"/>
      <c r="I669" s="234"/>
      <c r="J669" s="234"/>
      <c r="K669" s="234"/>
      <c r="M669" s="234"/>
      <c r="N669" s="234"/>
      <c r="O669" s="238"/>
      <c r="P669" s="234"/>
      <c r="Q669" s="234"/>
      <c r="R669" s="234"/>
      <c r="S669" s="234"/>
    </row>
    <row r="670">
      <c r="A670" s="234"/>
      <c r="B670" s="234"/>
      <c r="C670" s="236"/>
      <c r="D670" s="234"/>
      <c r="E670" s="234"/>
      <c r="F670" s="234"/>
      <c r="G670" s="234"/>
      <c r="H670" s="234"/>
      <c r="I670" s="234"/>
      <c r="J670" s="234"/>
      <c r="K670" s="234"/>
      <c r="M670" s="234"/>
      <c r="N670" s="234"/>
      <c r="O670" s="238"/>
      <c r="P670" s="234"/>
      <c r="Q670" s="234"/>
      <c r="R670" s="234"/>
      <c r="S670" s="234"/>
    </row>
    <row r="671">
      <c r="A671" s="234"/>
      <c r="B671" s="234"/>
      <c r="C671" s="236"/>
      <c r="D671" s="234"/>
      <c r="E671" s="234"/>
      <c r="F671" s="234"/>
      <c r="G671" s="234"/>
      <c r="H671" s="234"/>
      <c r="I671" s="234"/>
      <c r="J671" s="234"/>
      <c r="K671" s="234"/>
      <c r="M671" s="234"/>
      <c r="N671" s="234"/>
      <c r="O671" s="238"/>
      <c r="P671" s="234"/>
      <c r="Q671" s="234"/>
      <c r="R671" s="234"/>
      <c r="S671" s="234"/>
    </row>
    <row r="672">
      <c r="A672" s="234"/>
      <c r="B672" s="234"/>
      <c r="C672" s="236"/>
      <c r="D672" s="234"/>
      <c r="E672" s="234"/>
      <c r="F672" s="234"/>
      <c r="G672" s="234"/>
      <c r="H672" s="234"/>
      <c r="I672" s="234"/>
      <c r="J672" s="234"/>
      <c r="K672" s="234"/>
      <c r="M672" s="234"/>
      <c r="N672" s="234"/>
      <c r="O672" s="238"/>
      <c r="P672" s="234"/>
      <c r="Q672" s="234"/>
      <c r="R672" s="234"/>
      <c r="S672" s="234"/>
    </row>
    <row r="673">
      <c r="A673" s="234"/>
      <c r="B673" s="234"/>
      <c r="C673" s="236"/>
      <c r="D673" s="234"/>
      <c r="E673" s="234"/>
      <c r="F673" s="234"/>
      <c r="G673" s="234"/>
      <c r="H673" s="234"/>
      <c r="I673" s="234"/>
      <c r="J673" s="234"/>
      <c r="K673" s="234"/>
      <c r="M673" s="234"/>
      <c r="N673" s="234"/>
      <c r="O673" s="238"/>
      <c r="P673" s="234"/>
      <c r="Q673" s="234"/>
      <c r="R673" s="234"/>
      <c r="S673" s="234"/>
    </row>
    <row r="674">
      <c r="A674" s="234"/>
      <c r="B674" s="234"/>
      <c r="C674" s="236"/>
      <c r="D674" s="234"/>
      <c r="E674" s="234"/>
      <c r="F674" s="234"/>
      <c r="G674" s="234"/>
      <c r="H674" s="234"/>
      <c r="I674" s="234"/>
      <c r="J674" s="234"/>
      <c r="K674" s="234"/>
      <c r="M674" s="234"/>
      <c r="N674" s="234"/>
      <c r="O674" s="238"/>
      <c r="P674" s="234"/>
      <c r="Q674" s="234"/>
      <c r="R674" s="234"/>
      <c r="S674" s="234"/>
    </row>
    <row r="675">
      <c r="A675" s="234"/>
      <c r="B675" s="234"/>
      <c r="C675" s="236"/>
      <c r="D675" s="234"/>
      <c r="E675" s="234"/>
      <c r="F675" s="234"/>
      <c r="G675" s="234"/>
      <c r="H675" s="234"/>
      <c r="I675" s="234"/>
      <c r="J675" s="234"/>
      <c r="K675" s="234"/>
      <c r="M675" s="234"/>
      <c r="N675" s="234"/>
      <c r="O675" s="238"/>
      <c r="P675" s="234"/>
      <c r="Q675" s="234"/>
      <c r="R675" s="234"/>
      <c r="S675" s="234"/>
    </row>
    <row r="676">
      <c r="A676" s="234"/>
      <c r="B676" s="234"/>
      <c r="C676" s="236"/>
      <c r="D676" s="234"/>
      <c r="E676" s="234"/>
      <c r="F676" s="234"/>
      <c r="G676" s="234"/>
      <c r="H676" s="234"/>
      <c r="I676" s="234"/>
      <c r="J676" s="234"/>
      <c r="K676" s="234"/>
      <c r="M676" s="234"/>
      <c r="N676" s="234"/>
      <c r="O676" s="238"/>
      <c r="P676" s="234"/>
      <c r="Q676" s="234"/>
      <c r="R676" s="234"/>
      <c r="S676" s="234"/>
    </row>
    <row r="677">
      <c r="A677" s="234"/>
      <c r="B677" s="234"/>
      <c r="C677" s="236"/>
      <c r="D677" s="234"/>
      <c r="E677" s="234"/>
      <c r="F677" s="234"/>
      <c r="G677" s="234"/>
      <c r="H677" s="234"/>
      <c r="I677" s="234"/>
      <c r="J677" s="234"/>
      <c r="K677" s="234"/>
      <c r="M677" s="234"/>
      <c r="N677" s="234"/>
      <c r="O677" s="238"/>
      <c r="P677" s="234"/>
      <c r="Q677" s="234"/>
      <c r="R677" s="234"/>
      <c r="S677" s="234"/>
    </row>
    <row r="678">
      <c r="A678" s="234"/>
      <c r="B678" s="234"/>
      <c r="C678" s="236"/>
      <c r="D678" s="234"/>
      <c r="E678" s="234"/>
      <c r="F678" s="234"/>
      <c r="G678" s="234"/>
      <c r="H678" s="234"/>
      <c r="I678" s="234"/>
      <c r="J678" s="234"/>
      <c r="K678" s="234"/>
      <c r="M678" s="234"/>
      <c r="N678" s="234"/>
      <c r="O678" s="238"/>
      <c r="P678" s="234"/>
      <c r="Q678" s="234"/>
      <c r="R678" s="234"/>
      <c r="S678" s="234"/>
    </row>
    <row r="679">
      <c r="A679" s="234"/>
      <c r="B679" s="234"/>
      <c r="C679" s="236"/>
      <c r="D679" s="234"/>
      <c r="E679" s="234"/>
      <c r="F679" s="234"/>
      <c r="G679" s="234"/>
      <c r="H679" s="234"/>
      <c r="I679" s="234"/>
      <c r="J679" s="234"/>
      <c r="K679" s="234"/>
      <c r="M679" s="234"/>
      <c r="N679" s="234"/>
      <c r="O679" s="238"/>
      <c r="P679" s="234"/>
      <c r="Q679" s="234"/>
      <c r="R679" s="234"/>
      <c r="S679" s="234"/>
    </row>
    <row r="680">
      <c r="A680" s="234"/>
      <c r="B680" s="234"/>
      <c r="C680" s="236"/>
      <c r="D680" s="234"/>
      <c r="E680" s="234"/>
      <c r="F680" s="234"/>
      <c r="G680" s="234"/>
      <c r="H680" s="234"/>
      <c r="I680" s="234"/>
      <c r="J680" s="234"/>
      <c r="K680" s="234"/>
      <c r="M680" s="234"/>
      <c r="N680" s="234"/>
      <c r="O680" s="238"/>
      <c r="P680" s="234"/>
      <c r="Q680" s="234"/>
      <c r="R680" s="234"/>
      <c r="S680" s="234"/>
    </row>
    <row r="681">
      <c r="A681" s="234"/>
      <c r="B681" s="234"/>
      <c r="C681" s="236"/>
      <c r="D681" s="234"/>
      <c r="E681" s="234"/>
      <c r="F681" s="234"/>
      <c r="G681" s="234"/>
      <c r="H681" s="234"/>
      <c r="I681" s="234"/>
      <c r="J681" s="234"/>
      <c r="K681" s="234"/>
      <c r="M681" s="234"/>
      <c r="N681" s="234"/>
      <c r="O681" s="238"/>
      <c r="P681" s="234"/>
      <c r="Q681" s="234"/>
      <c r="R681" s="234"/>
      <c r="S681" s="234"/>
    </row>
    <row r="682">
      <c r="A682" s="234"/>
      <c r="B682" s="234"/>
      <c r="C682" s="236"/>
      <c r="D682" s="234"/>
      <c r="E682" s="234"/>
      <c r="F682" s="234"/>
      <c r="G682" s="234"/>
      <c r="H682" s="234"/>
      <c r="I682" s="234"/>
      <c r="J682" s="234"/>
      <c r="K682" s="234"/>
      <c r="M682" s="234"/>
      <c r="N682" s="234"/>
      <c r="O682" s="238"/>
      <c r="P682" s="234"/>
      <c r="Q682" s="234"/>
      <c r="R682" s="234"/>
      <c r="S682" s="234"/>
    </row>
    <row r="683">
      <c r="A683" s="234"/>
      <c r="B683" s="234"/>
      <c r="C683" s="236"/>
      <c r="D683" s="234"/>
      <c r="E683" s="234"/>
      <c r="F683" s="234"/>
      <c r="G683" s="234"/>
      <c r="H683" s="234"/>
      <c r="I683" s="234"/>
      <c r="J683" s="234"/>
      <c r="K683" s="234"/>
      <c r="M683" s="234"/>
      <c r="N683" s="234"/>
      <c r="O683" s="238"/>
      <c r="P683" s="234"/>
      <c r="Q683" s="234"/>
      <c r="R683" s="234"/>
      <c r="S683" s="234"/>
    </row>
    <row r="684">
      <c r="A684" s="234"/>
      <c r="B684" s="234"/>
      <c r="C684" s="236"/>
      <c r="D684" s="234"/>
      <c r="E684" s="234"/>
      <c r="F684" s="234"/>
      <c r="G684" s="234"/>
      <c r="H684" s="234"/>
      <c r="I684" s="234"/>
      <c r="J684" s="234"/>
      <c r="K684" s="234"/>
      <c r="M684" s="234"/>
      <c r="N684" s="234"/>
      <c r="O684" s="238"/>
      <c r="P684" s="234"/>
      <c r="Q684" s="234"/>
      <c r="R684" s="234"/>
      <c r="S684" s="234"/>
    </row>
    <row r="685">
      <c r="A685" s="234"/>
      <c r="B685" s="234"/>
      <c r="C685" s="236"/>
      <c r="D685" s="234"/>
      <c r="E685" s="234"/>
      <c r="F685" s="234"/>
      <c r="G685" s="234"/>
      <c r="H685" s="234"/>
      <c r="I685" s="234"/>
      <c r="J685" s="234"/>
      <c r="K685" s="234"/>
      <c r="M685" s="234"/>
      <c r="N685" s="234"/>
      <c r="O685" s="238"/>
      <c r="P685" s="234"/>
      <c r="Q685" s="234"/>
      <c r="R685" s="234"/>
      <c r="S685" s="234"/>
    </row>
    <row r="686">
      <c r="A686" s="234"/>
      <c r="B686" s="234"/>
      <c r="C686" s="236"/>
      <c r="D686" s="234"/>
      <c r="E686" s="234"/>
      <c r="F686" s="234"/>
      <c r="G686" s="234"/>
      <c r="H686" s="234"/>
      <c r="I686" s="234"/>
      <c r="J686" s="234"/>
      <c r="K686" s="234"/>
      <c r="M686" s="234"/>
      <c r="N686" s="234"/>
      <c r="O686" s="238"/>
      <c r="P686" s="234"/>
      <c r="Q686" s="234"/>
      <c r="R686" s="234"/>
      <c r="S686" s="234"/>
    </row>
    <row r="687">
      <c r="A687" s="234"/>
      <c r="B687" s="234"/>
      <c r="C687" s="236"/>
      <c r="D687" s="234"/>
      <c r="E687" s="234"/>
      <c r="F687" s="234"/>
      <c r="G687" s="234"/>
      <c r="H687" s="234"/>
      <c r="I687" s="234"/>
      <c r="J687" s="234"/>
      <c r="K687" s="234"/>
      <c r="M687" s="234"/>
      <c r="N687" s="234"/>
      <c r="O687" s="238"/>
      <c r="P687" s="234"/>
      <c r="Q687" s="234"/>
      <c r="R687" s="234"/>
      <c r="S687" s="234"/>
    </row>
    <row r="688">
      <c r="A688" s="234"/>
      <c r="B688" s="234"/>
      <c r="C688" s="236"/>
      <c r="D688" s="234"/>
      <c r="E688" s="234"/>
      <c r="F688" s="234"/>
      <c r="G688" s="234"/>
      <c r="H688" s="234"/>
      <c r="I688" s="234"/>
      <c r="J688" s="234"/>
      <c r="K688" s="234"/>
      <c r="M688" s="234"/>
      <c r="N688" s="234"/>
      <c r="O688" s="238"/>
      <c r="P688" s="234"/>
      <c r="Q688" s="234"/>
      <c r="R688" s="234"/>
      <c r="S688" s="234"/>
    </row>
    <row r="689">
      <c r="A689" s="234"/>
      <c r="B689" s="234"/>
      <c r="C689" s="236"/>
      <c r="D689" s="234"/>
      <c r="E689" s="234"/>
      <c r="F689" s="234"/>
      <c r="G689" s="234"/>
      <c r="H689" s="234"/>
      <c r="I689" s="234"/>
      <c r="J689" s="234"/>
      <c r="K689" s="234"/>
      <c r="M689" s="234"/>
      <c r="N689" s="234"/>
      <c r="O689" s="238"/>
      <c r="P689" s="234"/>
      <c r="Q689" s="234"/>
      <c r="R689" s="234"/>
      <c r="S689" s="234"/>
    </row>
    <row r="690">
      <c r="A690" s="234"/>
      <c r="B690" s="234"/>
      <c r="C690" s="236"/>
      <c r="D690" s="234"/>
      <c r="E690" s="234"/>
      <c r="F690" s="234"/>
      <c r="G690" s="234"/>
      <c r="H690" s="234"/>
      <c r="I690" s="234"/>
      <c r="J690" s="234"/>
      <c r="K690" s="234"/>
      <c r="M690" s="234"/>
      <c r="N690" s="234"/>
      <c r="O690" s="238"/>
      <c r="P690" s="234"/>
      <c r="Q690" s="234"/>
      <c r="R690" s="234"/>
      <c r="S690" s="234"/>
    </row>
    <row r="691">
      <c r="A691" s="234"/>
      <c r="B691" s="234"/>
      <c r="C691" s="236"/>
      <c r="D691" s="234"/>
      <c r="E691" s="234"/>
      <c r="F691" s="234"/>
      <c r="G691" s="234"/>
      <c r="H691" s="234"/>
      <c r="I691" s="234"/>
      <c r="J691" s="234"/>
      <c r="K691" s="234"/>
      <c r="M691" s="234"/>
      <c r="N691" s="234"/>
      <c r="O691" s="238"/>
      <c r="P691" s="234"/>
      <c r="Q691" s="234"/>
      <c r="R691" s="234"/>
      <c r="S691" s="234"/>
    </row>
    <row r="692">
      <c r="A692" s="234"/>
      <c r="B692" s="234"/>
      <c r="C692" s="236"/>
      <c r="D692" s="234"/>
      <c r="E692" s="234"/>
      <c r="F692" s="234"/>
      <c r="G692" s="234"/>
      <c r="H692" s="234"/>
      <c r="I692" s="234"/>
      <c r="J692" s="234"/>
      <c r="K692" s="234"/>
      <c r="M692" s="234"/>
      <c r="N692" s="234"/>
      <c r="O692" s="238"/>
      <c r="P692" s="234"/>
      <c r="Q692" s="234"/>
      <c r="R692" s="234"/>
      <c r="S692" s="234"/>
    </row>
    <row r="693">
      <c r="A693" s="234"/>
      <c r="B693" s="234"/>
      <c r="C693" s="236"/>
      <c r="D693" s="234"/>
      <c r="E693" s="234"/>
      <c r="F693" s="234"/>
      <c r="G693" s="234"/>
      <c r="H693" s="234"/>
      <c r="I693" s="234"/>
      <c r="J693" s="234"/>
      <c r="K693" s="234"/>
      <c r="M693" s="234"/>
      <c r="N693" s="234"/>
      <c r="O693" s="238"/>
      <c r="P693" s="234"/>
      <c r="Q693" s="234"/>
      <c r="R693" s="234"/>
      <c r="S693" s="234"/>
    </row>
    <row r="694">
      <c r="A694" s="234"/>
      <c r="B694" s="234"/>
      <c r="C694" s="236"/>
      <c r="D694" s="234"/>
      <c r="E694" s="234"/>
      <c r="F694" s="234"/>
      <c r="G694" s="234"/>
      <c r="H694" s="234"/>
      <c r="I694" s="234"/>
      <c r="J694" s="234"/>
      <c r="K694" s="234"/>
      <c r="M694" s="234"/>
      <c r="N694" s="234"/>
      <c r="O694" s="238"/>
      <c r="P694" s="234"/>
      <c r="Q694" s="234"/>
      <c r="R694" s="234"/>
      <c r="S694" s="234"/>
    </row>
    <row r="695">
      <c r="A695" s="234"/>
      <c r="B695" s="234"/>
      <c r="C695" s="236"/>
      <c r="D695" s="234"/>
      <c r="E695" s="234"/>
      <c r="F695" s="234"/>
      <c r="G695" s="234"/>
      <c r="H695" s="234"/>
      <c r="I695" s="234"/>
      <c r="J695" s="234"/>
      <c r="K695" s="234"/>
      <c r="M695" s="234"/>
      <c r="N695" s="234"/>
      <c r="O695" s="238"/>
      <c r="P695" s="234"/>
      <c r="Q695" s="234"/>
      <c r="R695" s="234"/>
      <c r="S695" s="234"/>
    </row>
    <row r="696">
      <c r="A696" s="234"/>
      <c r="B696" s="234"/>
      <c r="C696" s="236"/>
      <c r="D696" s="234"/>
      <c r="E696" s="234"/>
      <c r="F696" s="234"/>
      <c r="G696" s="234"/>
      <c r="H696" s="234"/>
      <c r="I696" s="234"/>
      <c r="J696" s="234"/>
      <c r="K696" s="234"/>
      <c r="M696" s="234"/>
      <c r="N696" s="234"/>
      <c r="O696" s="238"/>
      <c r="P696" s="234"/>
      <c r="Q696" s="234"/>
      <c r="R696" s="234"/>
      <c r="S696" s="234"/>
    </row>
    <row r="697">
      <c r="A697" s="234"/>
      <c r="B697" s="234"/>
      <c r="C697" s="236"/>
      <c r="D697" s="234"/>
      <c r="E697" s="234"/>
      <c r="F697" s="234"/>
      <c r="G697" s="234"/>
      <c r="H697" s="234"/>
      <c r="I697" s="234"/>
      <c r="J697" s="234"/>
      <c r="K697" s="234"/>
      <c r="M697" s="234"/>
      <c r="N697" s="234"/>
      <c r="O697" s="238"/>
      <c r="P697" s="234"/>
      <c r="Q697" s="234"/>
      <c r="R697" s="234"/>
      <c r="S697" s="234"/>
    </row>
    <row r="698">
      <c r="A698" s="234"/>
      <c r="B698" s="234"/>
      <c r="C698" s="236"/>
      <c r="D698" s="234"/>
      <c r="E698" s="234"/>
      <c r="F698" s="234"/>
      <c r="G698" s="234"/>
      <c r="H698" s="234"/>
      <c r="I698" s="234"/>
      <c r="J698" s="234"/>
      <c r="K698" s="234"/>
      <c r="M698" s="234"/>
      <c r="N698" s="234"/>
      <c r="O698" s="238"/>
      <c r="P698" s="234"/>
      <c r="Q698" s="234"/>
      <c r="R698" s="234"/>
      <c r="S698" s="234"/>
    </row>
    <row r="699">
      <c r="A699" s="234"/>
      <c r="B699" s="234"/>
      <c r="C699" s="236"/>
      <c r="D699" s="234"/>
      <c r="E699" s="234"/>
      <c r="F699" s="234"/>
      <c r="G699" s="234"/>
      <c r="H699" s="234"/>
      <c r="I699" s="234"/>
      <c r="J699" s="234"/>
      <c r="K699" s="234"/>
      <c r="M699" s="234"/>
      <c r="N699" s="234"/>
      <c r="O699" s="238"/>
      <c r="P699" s="234"/>
      <c r="Q699" s="234"/>
      <c r="R699" s="234"/>
      <c r="S699" s="234"/>
    </row>
    <row r="700">
      <c r="A700" s="234"/>
      <c r="B700" s="234"/>
      <c r="C700" s="236"/>
      <c r="D700" s="234"/>
      <c r="E700" s="234"/>
      <c r="F700" s="234"/>
      <c r="G700" s="234"/>
      <c r="H700" s="234"/>
      <c r="I700" s="234"/>
      <c r="J700" s="234"/>
      <c r="K700" s="234"/>
      <c r="M700" s="234"/>
      <c r="N700" s="234"/>
      <c r="O700" s="238"/>
      <c r="P700" s="234"/>
      <c r="Q700" s="234"/>
      <c r="R700" s="234"/>
      <c r="S700" s="234"/>
    </row>
    <row r="701">
      <c r="A701" s="234"/>
      <c r="B701" s="234"/>
      <c r="C701" s="236"/>
      <c r="D701" s="234"/>
      <c r="E701" s="234"/>
      <c r="F701" s="234"/>
      <c r="G701" s="234"/>
      <c r="H701" s="234"/>
      <c r="I701" s="234"/>
      <c r="J701" s="234"/>
      <c r="K701" s="234"/>
      <c r="M701" s="234"/>
      <c r="N701" s="234"/>
      <c r="O701" s="238"/>
      <c r="P701" s="234"/>
      <c r="Q701" s="234"/>
      <c r="R701" s="234"/>
      <c r="S701" s="234"/>
    </row>
    <row r="702">
      <c r="A702" s="234"/>
      <c r="B702" s="234"/>
      <c r="C702" s="236"/>
      <c r="D702" s="234"/>
      <c r="E702" s="234"/>
      <c r="F702" s="234"/>
      <c r="G702" s="234"/>
      <c r="H702" s="234"/>
      <c r="I702" s="234"/>
      <c r="J702" s="234"/>
      <c r="K702" s="234"/>
      <c r="M702" s="234"/>
      <c r="N702" s="234"/>
      <c r="O702" s="238"/>
      <c r="P702" s="234"/>
      <c r="Q702" s="234"/>
      <c r="R702" s="234"/>
      <c r="S702" s="234"/>
    </row>
    <row r="703">
      <c r="A703" s="234"/>
      <c r="B703" s="234"/>
      <c r="C703" s="236"/>
      <c r="D703" s="234"/>
      <c r="E703" s="234"/>
      <c r="F703" s="234"/>
      <c r="G703" s="234"/>
      <c r="H703" s="234"/>
      <c r="I703" s="234"/>
      <c r="J703" s="234"/>
      <c r="K703" s="234"/>
      <c r="M703" s="234"/>
      <c r="N703" s="234"/>
      <c r="O703" s="238"/>
      <c r="P703" s="234"/>
      <c r="Q703" s="234"/>
      <c r="R703" s="234"/>
      <c r="S703" s="234"/>
    </row>
    <row r="704">
      <c r="A704" s="234"/>
      <c r="B704" s="234"/>
      <c r="C704" s="236"/>
      <c r="D704" s="234"/>
      <c r="E704" s="234"/>
      <c r="F704" s="234"/>
      <c r="G704" s="234"/>
      <c r="H704" s="234"/>
      <c r="I704" s="234"/>
      <c r="J704" s="234"/>
      <c r="K704" s="234"/>
      <c r="M704" s="234"/>
      <c r="N704" s="234"/>
      <c r="O704" s="238"/>
      <c r="P704" s="234"/>
      <c r="Q704" s="234"/>
      <c r="R704" s="234"/>
      <c r="S704" s="234"/>
    </row>
    <row r="705">
      <c r="A705" s="234"/>
      <c r="B705" s="234"/>
      <c r="C705" s="236"/>
      <c r="D705" s="234"/>
      <c r="E705" s="234"/>
      <c r="F705" s="234"/>
      <c r="G705" s="234"/>
      <c r="H705" s="234"/>
      <c r="I705" s="234"/>
      <c r="J705" s="234"/>
      <c r="K705" s="234"/>
      <c r="M705" s="234"/>
      <c r="N705" s="234"/>
      <c r="O705" s="238"/>
      <c r="P705" s="234"/>
      <c r="Q705" s="234"/>
      <c r="R705" s="234"/>
      <c r="S705" s="234"/>
    </row>
    <row r="706">
      <c r="A706" s="234"/>
      <c r="B706" s="234"/>
      <c r="C706" s="236"/>
      <c r="D706" s="234"/>
      <c r="E706" s="234"/>
      <c r="F706" s="234"/>
      <c r="G706" s="234"/>
      <c r="H706" s="234"/>
      <c r="I706" s="234"/>
      <c r="J706" s="234"/>
      <c r="K706" s="234"/>
      <c r="M706" s="234"/>
      <c r="N706" s="234"/>
      <c r="O706" s="238"/>
      <c r="P706" s="234"/>
      <c r="Q706" s="234"/>
      <c r="R706" s="234"/>
      <c r="S706" s="234"/>
    </row>
    <row r="707">
      <c r="A707" s="234"/>
      <c r="B707" s="234"/>
      <c r="C707" s="236"/>
      <c r="D707" s="234"/>
      <c r="E707" s="234"/>
      <c r="F707" s="234"/>
      <c r="G707" s="234"/>
      <c r="H707" s="234"/>
      <c r="I707" s="234"/>
      <c r="J707" s="234"/>
      <c r="K707" s="234"/>
      <c r="M707" s="234"/>
      <c r="N707" s="234"/>
      <c r="O707" s="238"/>
      <c r="P707" s="234"/>
      <c r="Q707" s="234"/>
      <c r="R707" s="234"/>
      <c r="S707" s="234"/>
    </row>
    <row r="708">
      <c r="A708" s="234"/>
      <c r="B708" s="234"/>
      <c r="C708" s="236"/>
      <c r="D708" s="234"/>
      <c r="E708" s="234"/>
      <c r="F708" s="234"/>
      <c r="G708" s="234"/>
      <c r="H708" s="234"/>
      <c r="I708" s="234"/>
      <c r="J708" s="234"/>
      <c r="K708" s="234"/>
      <c r="M708" s="234"/>
      <c r="N708" s="234"/>
      <c r="O708" s="238"/>
      <c r="P708" s="234"/>
      <c r="Q708" s="234"/>
      <c r="R708" s="234"/>
      <c r="S708" s="234"/>
    </row>
    <row r="709">
      <c r="A709" s="234"/>
      <c r="B709" s="234"/>
      <c r="C709" s="236"/>
      <c r="D709" s="234"/>
      <c r="E709" s="234"/>
      <c r="F709" s="234"/>
      <c r="G709" s="234"/>
      <c r="H709" s="234"/>
      <c r="I709" s="234"/>
      <c r="J709" s="234"/>
      <c r="K709" s="234"/>
      <c r="M709" s="234"/>
      <c r="N709" s="234"/>
      <c r="O709" s="238"/>
      <c r="P709" s="234"/>
      <c r="Q709" s="234"/>
      <c r="R709" s="234"/>
      <c r="S709" s="234"/>
    </row>
    <row r="710">
      <c r="A710" s="234"/>
      <c r="B710" s="234"/>
      <c r="C710" s="236"/>
      <c r="D710" s="234"/>
      <c r="E710" s="234"/>
      <c r="F710" s="234"/>
      <c r="G710" s="234"/>
      <c r="H710" s="234"/>
      <c r="I710" s="234"/>
      <c r="J710" s="234"/>
      <c r="K710" s="234"/>
      <c r="M710" s="234"/>
      <c r="N710" s="234"/>
      <c r="O710" s="238"/>
      <c r="P710" s="234"/>
      <c r="Q710" s="234"/>
      <c r="R710" s="234"/>
      <c r="S710" s="234"/>
    </row>
    <row r="711">
      <c r="A711" s="234"/>
      <c r="B711" s="234"/>
      <c r="C711" s="236"/>
      <c r="D711" s="234"/>
      <c r="E711" s="234"/>
      <c r="F711" s="234"/>
      <c r="G711" s="234"/>
      <c r="H711" s="234"/>
      <c r="I711" s="234"/>
      <c r="J711" s="234"/>
      <c r="K711" s="234"/>
      <c r="M711" s="234"/>
      <c r="N711" s="234"/>
      <c r="O711" s="238"/>
      <c r="P711" s="234"/>
      <c r="Q711" s="234"/>
      <c r="R711" s="234"/>
      <c r="S711" s="234"/>
    </row>
    <row r="712">
      <c r="A712" s="234"/>
      <c r="B712" s="234"/>
      <c r="C712" s="236"/>
      <c r="D712" s="234"/>
      <c r="E712" s="234"/>
      <c r="F712" s="234"/>
      <c r="G712" s="234"/>
      <c r="H712" s="234"/>
      <c r="I712" s="234"/>
      <c r="J712" s="234"/>
      <c r="K712" s="234"/>
      <c r="M712" s="234"/>
      <c r="N712" s="234"/>
      <c r="O712" s="238"/>
      <c r="P712" s="234"/>
      <c r="Q712" s="234"/>
      <c r="R712" s="234"/>
      <c r="S712" s="234"/>
    </row>
    <row r="713">
      <c r="A713" s="234"/>
      <c r="B713" s="234"/>
      <c r="C713" s="236"/>
      <c r="D713" s="234"/>
      <c r="E713" s="234"/>
      <c r="F713" s="234"/>
      <c r="G713" s="234"/>
      <c r="H713" s="234"/>
      <c r="I713" s="234"/>
      <c r="J713" s="234"/>
      <c r="K713" s="234"/>
      <c r="M713" s="234"/>
      <c r="N713" s="234"/>
      <c r="O713" s="238"/>
      <c r="P713" s="234"/>
      <c r="Q713" s="234"/>
      <c r="R713" s="234"/>
      <c r="S713" s="234"/>
    </row>
    <row r="714">
      <c r="A714" s="234"/>
      <c r="B714" s="234"/>
      <c r="C714" s="236"/>
      <c r="D714" s="234"/>
      <c r="E714" s="234"/>
      <c r="F714" s="234"/>
      <c r="G714" s="234"/>
      <c r="H714" s="234"/>
      <c r="I714" s="234"/>
      <c r="J714" s="234"/>
      <c r="K714" s="234"/>
      <c r="M714" s="234"/>
      <c r="N714" s="234"/>
      <c r="O714" s="238"/>
      <c r="P714" s="234"/>
      <c r="Q714" s="234"/>
      <c r="R714" s="234"/>
      <c r="S714" s="234"/>
    </row>
    <row r="715">
      <c r="A715" s="234"/>
      <c r="B715" s="234"/>
      <c r="C715" s="236"/>
      <c r="D715" s="234"/>
      <c r="E715" s="234"/>
      <c r="F715" s="234"/>
      <c r="G715" s="234"/>
      <c r="H715" s="234"/>
      <c r="I715" s="234"/>
      <c r="J715" s="234"/>
      <c r="K715" s="234"/>
      <c r="M715" s="234"/>
      <c r="N715" s="234"/>
      <c r="O715" s="238"/>
      <c r="P715" s="234"/>
      <c r="Q715" s="234"/>
      <c r="R715" s="234"/>
      <c r="S715" s="234"/>
    </row>
    <row r="716">
      <c r="A716" s="234"/>
      <c r="B716" s="234"/>
      <c r="C716" s="236"/>
      <c r="D716" s="234"/>
      <c r="E716" s="234"/>
      <c r="F716" s="234"/>
      <c r="G716" s="234"/>
      <c r="H716" s="234"/>
      <c r="I716" s="234"/>
      <c r="J716" s="234"/>
      <c r="K716" s="234"/>
      <c r="M716" s="234"/>
      <c r="N716" s="234"/>
      <c r="O716" s="238"/>
      <c r="P716" s="234"/>
      <c r="Q716" s="234"/>
      <c r="R716" s="234"/>
      <c r="S716" s="234"/>
    </row>
    <row r="717">
      <c r="A717" s="234"/>
      <c r="B717" s="234"/>
      <c r="C717" s="236"/>
      <c r="D717" s="234"/>
      <c r="E717" s="234"/>
      <c r="F717" s="234"/>
      <c r="G717" s="234"/>
      <c r="H717" s="234"/>
      <c r="I717" s="234"/>
      <c r="J717" s="234"/>
      <c r="K717" s="234"/>
      <c r="M717" s="234"/>
      <c r="N717" s="234"/>
      <c r="O717" s="238"/>
      <c r="P717" s="234"/>
      <c r="Q717" s="234"/>
      <c r="R717" s="234"/>
      <c r="S717" s="234"/>
    </row>
    <row r="718">
      <c r="A718" s="234"/>
      <c r="B718" s="234"/>
      <c r="C718" s="236"/>
      <c r="D718" s="234"/>
      <c r="E718" s="234"/>
      <c r="F718" s="234"/>
      <c r="G718" s="234"/>
      <c r="H718" s="234"/>
      <c r="I718" s="234"/>
      <c r="J718" s="234"/>
      <c r="K718" s="234"/>
      <c r="M718" s="234"/>
      <c r="N718" s="234"/>
      <c r="O718" s="238"/>
      <c r="P718" s="234"/>
      <c r="Q718" s="234"/>
      <c r="R718" s="234"/>
      <c r="S718" s="234"/>
    </row>
    <row r="719">
      <c r="A719" s="234"/>
      <c r="B719" s="234"/>
      <c r="C719" s="236"/>
      <c r="D719" s="234"/>
      <c r="E719" s="234"/>
      <c r="F719" s="234"/>
      <c r="G719" s="234"/>
      <c r="H719" s="234"/>
      <c r="I719" s="234"/>
      <c r="J719" s="234"/>
      <c r="K719" s="234"/>
      <c r="M719" s="234"/>
      <c r="N719" s="234"/>
      <c r="O719" s="238"/>
      <c r="P719" s="234"/>
      <c r="Q719" s="234"/>
      <c r="R719" s="234"/>
      <c r="S719" s="234"/>
    </row>
    <row r="720">
      <c r="A720" s="234"/>
      <c r="B720" s="234"/>
      <c r="C720" s="236"/>
      <c r="D720" s="234"/>
      <c r="E720" s="234"/>
      <c r="F720" s="234"/>
      <c r="G720" s="234"/>
      <c r="H720" s="234"/>
      <c r="I720" s="234"/>
      <c r="J720" s="234"/>
      <c r="K720" s="234"/>
      <c r="M720" s="234"/>
      <c r="N720" s="234"/>
      <c r="O720" s="238"/>
      <c r="P720" s="234"/>
      <c r="Q720" s="234"/>
      <c r="R720" s="234"/>
      <c r="S720" s="234"/>
    </row>
    <row r="721">
      <c r="A721" s="234"/>
      <c r="B721" s="234"/>
      <c r="C721" s="236"/>
      <c r="D721" s="234"/>
      <c r="E721" s="234"/>
      <c r="F721" s="234"/>
      <c r="G721" s="234"/>
      <c r="H721" s="234"/>
      <c r="I721" s="234"/>
      <c r="J721" s="234"/>
      <c r="K721" s="234"/>
      <c r="M721" s="234"/>
      <c r="N721" s="234"/>
      <c r="O721" s="238"/>
      <c r="P721" s="234"/>
      <c r="Q721" s="234"/>
      <c r="R721" s="234"/>
      <c r="S721" s="234"/>
    </row>
    <row r="722">
      <c r="A722" s="234"/>
      <c r="B722" s="234"/>
      <c r="C722" s="236"/>
      <c r="D722" s="234"/>
      <c r="E722" s="234"/>
      <c r="F722" s="234"/>
      <c r="G722" s="234"/>
      <c r="H722" s="234"/>
      <c r="I722" s="234"/>
      <c r="J722" s="234"/>
      <c r="K722" s="234"/>
      <c r="M722" s="234"/>
      <c r="N722" s="234"/>
      <c r="O722" s="238"/>
      <c r="P722" s="234"/>
      <c r="Q722" s="234"/>
      <c r="R722" s="234"/>
      <c r="S722" s="234"/>
    </row>
    <row r="723">
      <c r="A723" s="234"/>
      <c r="B723" s="234"/>
      <c r="C723" s="236"/>
      <c r="D723" s="234"/>
      <c r="E723" s="234"/>
      <c r="F723" s="234"/>
      <c r="G723" s="234"/>
      <c r="H723" s="234"/>
      <c r="I723" s="234"/>
      <c r="J723" s="234"/>
      <c r="K723" s="234"/>
      <c r="M723" s="234"/>
      <c r="N723" s="234"/>
      <c r="O723" s="238"/>
      <c r="P723" s="234"/>
      <c r="Q723" s="234"/>
      <c r="R723" s="234"/>
      <c r="S723" s="234"/>
    </row>
    <row r="724">
      <c r="A724" s="234"/>
      <c r="B724" s="234"/>
      <c r="C724" s="236"/>
      <c r="D724" s="234"/>
      <c r="E724" s="234"/>
      <c r="F724" s="234"/>
      <c r="G724" s="234"/>
      <c r="H724" s="234"/>
      <c r="I724" s="234"/>
      <c r="J724" s="234"/>
      <c r="K724" s="234"/>
      <c r="M724" s="234"/>
      <c r="N724" s="234"/>
      <c r="O724" s="238"/>
      <c r="P724" s="234"/>
      <c r="Q724" s="234"/>
      <c r="R724" s="234"/>
      <c r="S724" s="234"/>
    </row>
    <row r="725">
      <c r="A725" s="234"/>
      <c r="B725" s="234"/>
      <c r="C725" s="236"/>
      <c r="D725" s="234"/>
      <c r="E725" s="234"/>
      <c r="F725" s="234"/>
      <c r="G725" s="234"/>
      <c r="H725" s="234"/>
      <c r="I725" s="234"/>
      <c r="J725" s="234"/>
      <c r="K725" s="234"/>
      <c r="M725" s="234"/>
      <c r="N725" s="234"/>
      <c r="O725" s="238"/>
      <c r="P725" s="234"/>
      <c r="Q725" s="234"/>
      <c r="R725" s="234"/>
      <c r="S725" s="234"/>
    </row>
    <row r="726">
      <c r="A726" s="234"/>
      <c r="B726" s="234"/>
      <c r="C726" s="236"/>
      <c r="D726" s="234"/>
      <c r="E726" s="234"/>
      <c r="F726" s="234"/>
      <c r="G726" s="234"/>
      <c r="H726" s="234"/>
      <c r="I726" s="234"/>
      <c r="J726" s="234"/>
      <c r="K726" s="234"/>
      <c r="M726" s="234"/>
      <c r="N726" s="234"/>
      <c r="O726" s="238"/>
      <c r="P726" s="234"/>
      <c r="Q726" s="234"/>
      <c r="R726" s="234"/>
      <c r="S726" s="234"/>
    </row>
    <row r="727">
      <c r="A727" s="234"/>
      <c r="B727" s="234"/>
      <c r="C727" s="236"/>
      <c r="D727" s="234"/>
      <c r="E727" s="234"/>
      <c r="F727" s="234"/>
      <c r="G727" s="234"/>
      <c r="H727" s="234"/>
      <c r="I727" s="234"/>
      <c r="J727" s="234"/>
      <c r="K727" s="234"/>
      <c r="M727" s="234"/>
      <c r="N727" s="234"/>
      <c r="O727" s="238"/>
      <c r="P727" s="234"/>
      <c r="Q727" s="234"/>
      <c r="R727" s="234"/>
      <c r="S727" s="234"/>
    </row>
    <row r="728">
      <c r="A728" s="234"/>
      <c r="B728" s="234"/>
      <c r="C728" s="236"/>
      <c r="D728" s="234"/>
      <c r="E728" s="234"/>
      <c r="F728" s="234"/>
      <c r="G728" s="234"/>
      <c r="H728" s="234"/>
      <c r="I728" s="234"/>
      <c r="J728" s="234"/>
      <c r="K728" s="234"/>
      <c r="M728" s="234"/>
      <c r="N728" s="234"/>
      <c r="O728" s="238"/>
      <c r="P728" s="234"/>
      <c r="Q728" s="234"/>
      <c r="R728" s="234"/>
      <c r="S728" s="234"/>
    </row>
    <row r="729">
      <c r="A729" s="234"/>
      <c r="B729" s="234"/>
      <c r="C729" s="236"/>
      <c r="D729" s="234"/>
      <c r="E729" s="234"/>
      <c r="F729" s="234"/>
      <c r="G729" s="234"/>
      <c r="H729" s="234"/>
      <c r="I729" s="234"/>
      <c r="J729" s="234"/>
      <c r="K729" s="234"/>
      <c r="M729" s="234"/>
      <c r="N729" s="234"/>
      <c r="O729" s="238"/>
      <c r="P729" s="234"/>
      <c r="Q729" s="234"/>
      <c r="R729" s="234"/>
      <c r="S729" s="234"/>
    </row>
    <row r="730">
      <c r="A730" s="234"/>
      <c r="B730" s="234"/>
      <c r="C730" s="236"/>
      <c r="D730" s="234"/>
      <c r="E730" s="234"/>
      <c r="F730" s="234"/>
      <c r="G730" s="234"/>
      <c r="H730" s="234"/>
      <c r="I730" s="234"/>
      <c r="J730" s="234"/>
      <c r="K730" s="234"/>
      <c r="M730" s="234"/>
      <c r="N730" s="234"/>
      <c r="O730" s="238"/>
      <c r="P730" s="234"/>
      <c r="Q730" s="234"/>
      <c r="R730" s="234"/>
      <c r="S730" s="234"/>
    </row>
    <row r="731">
      <c r="A731" s="234"/>
      <c r="B731" s="234"/>
      <c r="C731" s="236"/>
      <c r="D731" s="234"/>
      <c r="E731" s="234"/>
      <c r="F731" s="234"/>
      <c r="G731" s="234"/>
      <c r="H731" s="234"/>
      <c r="I731" s="234"/>
      <c r="J731" s="234"/>
      <c r="K731" s="234"/>
      <c r="M731" s="234"/>
      <c r="N731" s="234"/>
      <c r="O731" s="238"/>
      <c r="P731" s="234"/>
      <c r="Q731" s="234"/>
      <c r="R731" s="234"/>
      <c r="S731" s="234"/>
    </row>
    <row r="732">
      <c r="A732" s="234"/>
      <c r="B732" s="234"/>
      <c r="C732" s="236"/>
      <c r="D732" s="234"/>
      <c r="E732" s="234"/>
      <c r="F732" s="234"/>
      <c r="G732" s="234"/>
      <c r="H732" s="234"/>
      <c r="I732" s="234"/>
      <c r="J732" s="234"/>
      <c r="K732" s="234"/>
      <c r="M732" s="234"/>
      <c r="N732" s="234"/>
      <c r="O732" s="238"/>
      <c r="P732" s="234"/>
      <c r="Q732" s="234"/>
      <c r="R732" s="234"/>
      <c r="S732" s="234"/>
    </row>
    <row r="733">
      <c r="A733" s="234"/>
      <c r="B733" s="234"/>
      <c r="C733" s="236"/>
      <c r="D733" s="234"/>
      <c r="E733" s="234"/>
      <c r="F733" s="234"/>
      <c r="G733" s="234"/>
      <c r="H733" s="234"/>
      <c r="I733" s="234"/>
      <c r="J733" s="234"/>
      <c r="K733" s="234"/>
      <c r="M733" s="234"/>
      <c r="N733" s="234"/>
      <c r="O733" s="238"/>
      <c r="P733" s="234"/>
      <c r="Q733" s="234"/>
      <c r="R733" s="234"/>
      <c r="S733" s="234"/>
    </row>
    <row r="734">
      <c r="A734" s="234"/>
      <c r="B734" s="234"/>
      <c r="C734" s="236"/>
      <c r="D734" s="234"/>
      <c r="E734" s="234"/>
      <c r="F734" s="234"/>
      <c r="G734" s="234"/>
      <c r="H734" s="234"/>
      <c r="I734" s="234"/>
      <c r="J734" s="234"/>
      <c r="K734" s="234"/>
      <c r="M734" s="234"/>
      <c r="N734" s="234"/>
      <c r="O734" s="238"/>
      <c r="P734" s="234"/>
      <c r="Q734" s="234"/>
      <c r="R734" s="234"/>
      <c r="S734" s="234"/>
    </row>
    <row r="735">
      <c r="A735" s="234"/>
      <c r="B735" s="234"/>
      <c r="C735" s="236"/>
      <c r="D735" s="234"/>
      <c r="E735" s="234"/>
      <c r="F735" s="234"/>
      <c r="G735" s="234"/>
      <c r="H735" s="234"/>
      <c r="I735" s="234"/>
      <c r="J735" s="234"/>
      <c r="K735" s="234"/>
      <c r="M735" s="234"/>
      <c r="N735" s="234"/>
      <c r="O735" s="238"/>
      <c r="P735" s="234"/>
      <c r="Q735" s="234"/>
      <c r="R735" s="234"/>
      <c r="S735" s="234"/>
    </row>
    <row r="736">
      <c r="A736" s="234"/>
      <c r="B736" s="234"/>
      <c r="C736" s="236"/>
      <c r="D736" s="234"/>
      <c r="E736" s="234"/>
      <c r="F736" s="234"/>
      <c r="G736" s="234"/>
      <c r="H736" s="234"/>
      <c r="I736" s="234"/>
      <c r="J736" s="234"/>
      <c r="K736" s="234"/>
      <c r="M736" s="234"/>
      <c r="N736" s="234"/>
      <c r="O736" s="238"/>
      <c r="P736" s="234"/>
      <c r="Q736" s="234"/>
      <c r="R736" s="234"/>
      <c r="S736" s="234"/>
    </row>
    <row r="737">
      <c r="A737" s="234"/>
      <c r="B737" s="234"/>
      <c r="C737" s="236"/>
      <c r="D737" s="234"/>
      <c r="E737" s="234"/>
      <c r="F737" s="234"/>
      <c r="G737" s="234"/>
      <c r="H737" s="234"/>
      <c r="I737" s="234"/>
      <c r="J737" s="234"/>
      <c r="K737" s="234"/>
      <c r="M737" s="234"/>
      <c r="N737" s="234"/>
      <c r="O737" s="238"/>
      <c r="P737" s="234"/>
      <c r="Q737" s="234"/>
      <c r="R737" s="234"/>
      <c r="S737" s="234"/>
    </row>
    <row r="738">
      <c r="A738" s="234"/>
      <c r="B738" s="234"/>
      <c r="C738" s="236"/>
      <c r="D738" s="234"/>
      <c r="E738" s="234"/>
      <c r="F738" s="234"/>
      <c r="G738" s="234"/>
      <c r="H738" s="234"/>
      <c r="I738" s="234"/>
      <c r="J738" s="234"/>
      <c r="K738" s="234"/>
      <c r="M738" s="234"/>
      <c r="N738" s="234"/>
      <c r="O738" s="238"/>
      <c r="P738" s="234"/>
      <c r="Q738" s="234"/>
      <c r="R738" s="234"/>
      <c r="S738" s="234"/>
    </row>
    <row r="739">
      <c r="A739" s="234"/>
      <c r="B739" s="234"/>
      <c r="C739" s="236"/>
      <c r="D739" s="234"/>
      <c r="E739" s="234"/>
      <c r="F739" s="234"/>
      <c r="G739" s="234"/>
      <c r="H739" s="234"/>
      <c r="I739" s="234"/>
      <c r="J739" s="234"/>
      <c r="K739" s="234"/>
      <c r="M739" s="234"/>
      <c r="N739" s="234"/>
      <c r="O739" s="238"/>
      <c r="P739" s="234"/>
      <c r="Q739" s="234"/>
      <c r="R739" s="234"/>
      <c r="S739" s="234"/>
    </row>
    <row r="740">
      <c r="A740" s="234"/>
      <c r="B740" s="234"/>
      <c r="C740" s="236"/>
      <c r="D740" s="234"/>
      <c r="E740" s="234"/>
      <c r="F740" s="234"/>
      <c r="G740" s="234"/>
      <c r="H740" s="234"/>
      <c r="I740" s="234"/>
      <c r="J740" s="234"/>
      <c r="K740" s="234"/>
      <c r="M740" s="234"/>
      <c r="N740" s="234"/>
      <c r="O740" s="238"/>
      <c r="P740" s="234"/>
      <c r="Q740" s="234"/>
      <c r="R740" s="234"/>
      <c r="S740" s="234"/>
    </row>
    <row r="741">
      <c r="A741" s="234"/>
      <c r="B741" s="234"/>
      <c r="C741" s="236"/>
      <c r="D741" s="234"/>
      <c r="E741" s="234"/>
      <c r="F741" s="234"/>
      <c r="G741" s="234"/>
      <c r="H741" s="234"/>
      <c r="I741" s="234"/>
      <c r="J741" s="234"/>
      <c r="K741" s="234"/>
      <c r="M741" s="234"/>
      <c r="N741" s="234"/>
      <c r="O741" s="238"/>
      <c r="P741" s="234"/>
      <c r="Q741" s="234"/>
      <c r="R741" s="234"/>
      <c r="S741" s="234"/>
    </row>
    <row r="742">
      <c r="A742" s="234"/>
      <c r="B742" s="234"/>
      <c r="C742" s="236"/>
      <c r="D742" s="234"/>
      <c r="E742" s="234"/>
      <c r="F742" s="234"/>
      <c r="G742" s="234"/>
      <c r="H742" s="234"/>
      <c r="I742" s="234"/>
      <c r="J742" s="234"/>
      <c r="K742" s="234"/>
      <c r="M742" s="234"/>
      <c r="N742" s="234"/>
      <c r="O742" s="238"/>
      <c r="P742" s="234"/>
      <c r="Q742" s="234"/>
      <c r="R742" s="234"/>
      <c r="S742" s="234"/>
    </row>
    <row r="743">
      <c r="A743" s="234"/>
      <c r="B743" s="234"/>
      <c r="C743" s="236"/>
      <c r="D743" s="234"/>
      <c r="E743" s="234"/>
      <c r="F743" s="234"/>
      <c r="G743" s="234"/>
      <c r="H743" s="234"/>
      <c r="I743" s="234"/>
      <c r="J743" s="234"/>
      <c r="K743" s="234"/>
      <c r="M743" s="234"/>
      <c r="N743" s="234"/>
      <c r="O743" s="238"/>
      <c r="P743" s="234"/>
      <c r="Q743" s="234"/>
      <c r="R743" s="234"/>
      <c r="S743" s="234"/>
    </row>
    <row r="744">
      <c r="A744" s="234"/>
      <c r="B744" s="234"/>
      <c r="C744" s="236"/>
      <c r="D744" s="234"/>
      <c r="E744" s="234"/>
      <c r="F744" s="234"/>
      <c r="G744" s="234"/>
      <c r="H744" s="234"/>
      <c r="I744" s="234"/>
      <c r="J744" s="234"/>
      <c r="K744" s="234"/>
      <c r="M744" s="234"/>
      <c r="N744" s="234"/>
      <c r="O744" s="238"/>
      <c r="P744" s="234"/>
      <c r="Q744" s="234"/>
      <c r="R744" s="234"/>
      <c r="S744" s="234"/>
    </row>
    <row r="745">
      <c r="A745" s="234"/>
      <c r="B745" s="234"/>
      <c r="C745" s="236"/>
      <c r="D745" s="234"/>
      <c r="E745" s="234"/>
      <c r="F745" s="234"/>
      <c r="G745" s="234"/>
      <c r="H745" s="234"/>
      <c r="I745" s="234"/>
      <c r="J745" s="234"/>
      <c r="K745" s="234"/>
      <c r="M745" s="234"/>
      <c r="N745" s="234"/>
      <c r="O745" s="238"/>
      <c r="P745" s="234"/>
      <c r="Q745" s="234"/>
      <c r="R745" s="234"/>
      <c r="S745" s="234"/>
    </row>
    <row r="746">
      <c r="A746" s="234"/>
      <c r="B746" s="234"/>
      <c r="C746" s="236"/>
      <c r="D746" s="234"/>
      <c r="E746" s="234"/>
      <c r="F746" s="234"/>
      <c r="G746" s="234"/>
      <c r="H746" s="234"/>
      <c r="I746" s="234"/>
      <c r="J746" s="234"/>
      <c r="K746" s="234"/>
      <c r="M746" s="234"/>
      <c r="N746" s="234"/>
      <c r="O746" s="238"/>
      <c r="P746" s="234"/>
      <c r="Q746" s="234"/>
      <c r="R746" s="234"/>
      <c r="S746" s="234"/>
    </row>
    <row r="747">
      <c r="A747" s="234"/>
      <c r="B747" s="234"/>
      <c r="C747" s="236"/>
      <c r="D747" s="234"/>
      <c r="E747" s="234"/>
      <c r="F747" s="234"/>
      <c r="G747" s="234"/>
      <c r="H747" s="234"/>
      <c r="I747" s="234"/>
      <c r="J747" s="234"/>
      <c r="K747" s="234"/>
      <c r="M747" s="234"/>
      <c r="N747" s="234"/>
      <c r="O747" s="238"/>
      <c r="P747" s="234"/>
      <c r="Q747" s="234"/>
      <c r="R747" s="234"/>
      <c r="S747" s="234"/>
    </row>
    <row r="748">
      <c r="A748" s="234"/>
      <c r="B748" s="234"/>
      <c r="C748" s="236"/>
      <c r="D748" s="234"/>
      <c r="E748" s="234"/>
      <c r="F748" s="234"/>
      <c r="G748" s="234"/>
      <c r="H748" s="234"/>
      <c r="I748" s="234"/>
      <c r="J748" s="234"/>
      <c r="K748" s="234"/>
      <c r="M748" s="234"/>
      <c r="N748" s="234"/>
      <c r="O748" s="238"/>
      <c r="P748" s="234"/>
      <c r="Q748" s="234"/>
      <c r="R748" s="234"/>
      <c r="S748" s="234"/>
    </row>
    <row r="749">
      <c r="A749" s="234"/>
      <c r="B749" s="234"/>
      <c r="C749" s="236"/>
      <c r="D749" s="234"/>
      <c r="E749" s="234"/>
      <c r="F749" s="234"/>
      <c r="G749" s="234"/>
      <c r="H749" s="234"/>
      <c r="I749" s="234"/>
      <c r="J749" s="234"/>
      <c r="K749" s="234"/>
      <c r="M749" s="234"/>
      <c r="N749" s="234"/>
      <c r="O749" s="238"/>
      <c r="P749" s="234"/>
      <c r="Q749" s="234"/>
      <c r="R749" s="234"/>
      <c r="S749" s="234"/>
    </row>
    <row r="750">
      <c r="A750" s="234"/>
      <c r="B750" s="234"/>
      <c r="C750" s="236"/>
      <c r="D750" s="234"/>
      <c r="E750" s="234"/>
      <c r="F750" s="234"/>
      <c r="G750" s="234"/>
      <c r="H750" s="234"/>
      <c r="I750" s="234"/>
      <c r="J750" s="234"/>
      <c r="K750" s="234"/>
      <c r="M750" s="234"/>
      <c r="N750" s="234"/>
      <c r="O750" s="238"/>
      <c r="P750" s="234"/>
      <c r="Q750" s="234"/>
      <c r="R750" s="234"/>
      <c r="S750" s="234"/>
    </row>
    <row r="751">
      <c r="A751" s="234"/>
      <c r="B751" s="234"/>
      <c r="C751" s="236"/>
      <c r="D751" s="234"/>
      <c r="E751" s="234"/>
      <c r="F751" s="234"/>
      <c r="G751" s="234"/>
      <c r="H751" s="234"/>
      <c r="I751" s="234"/>
      <c r="J751" s="234"/>
      <c r="K751" s="234"/>
      <c r="M751" s="234"/>
      <c r="N751" s="234"/>
      <c r="O751" s="238"/>
      <c r="P751" s="234"/>
      <c r="Q751" s="234"/>
      <c r="R751" s="234"/>
      <c r="S751" s="234"/>
    </row>
    <row r="752">
      <c r="A752" s="234"/>
      <c r="B752" s="234"/>
      <c r="C752" s="236"/>
      <c r="D752" s="234"/>
      <c r="E752" s="234"/>
      <c r="F752" s="234"/>
      <c r="G752" s="234"/>
      <c r="H752" s="234"/>
      <c r="I752" s="234"/>
      <c r="J752" s="234"/>
      <c r="K752" s="234"/>
      <c r="M752" s="234"/>
      <c r="N752" s="234"/>
      <c r="O752" s="238"/>
      <c r="P752" s="234"/>
      <c r="Q752" s="234"/>
      <c r="R752" s="234"/>
      <c r="S752" s="234"/>
    </row>
    <row r="753">
      <c r="A753" s="234"/>
      <c r="B753" s="234"/>
      <c r="C753" s="236"/>
      <c r="D753" s="234"/>
      <c r="E753" s="234"/>
      <c r="F753" s="234"/>
      <c r="G753" s="234"/>
      <c r="H753" s="234"/>
      <c r="I753" s="234"/>
      <c r="J753" s="234"/>
      <c r="K753" s="234"/>
      <c r="M753" s="234"/>
      <c r="N753" s="234"/>
      <c r="O753" s="238"/>
      <c r="P753" s="234"/>
      <c r="Q753" s="234"/>
      <c r="R753" s="234"/>
      <c r="S753" s="234"/>
    </row>
    <row r="754">
      <c r="A754" s="234"/>
      <c r="B754" s="234"/>
      <c r="C754" s="236"/>
      <c r="D754" s="234"/>
      <c r="E754" s="234"/>
      <c r="F754" s="234"/>
      <c r="G754" s="234"/>
      <c r="H754" s="234"/>
      <c r="I754" s="234"/>
      <c r="J754" s="234"/>
      <c r="K754" s="234"/>
      <c r="M754" s="234"/>
      <c r="N754" s="234"/>
      <c r="O754" s="238"/>
      <c r="P754" s="234"/>
      <c r="Q754" s="234"/>
      <c r="R754" s="234"/>
      <c r="S754" s="234"/>
    </row>
    <row r="755">
      <c r="A755" s="234"/>
      <c r="B755" s="234"/>
      <c r="C755" s="236"/>
      <c r="D755" s="234"/>
      <c r="E755" s="234"/>
      <c r="F755" s="234"/>
      <c r="G755" s="234"/>
      <c r="H755" s="234"/>
      <c r="I755" s="234"/>
      <c r="J755" s="234"/>
      <c r="K755" s="234"/>
      <c r="M755" s="234"/>
      <c r="N755" s="234"/>
      <c r="O755" s="238"/>
      <c r="P755" s="234"/>
      <c r="Q755" s="234"/>
      <c r="R755" s="234"/>
      <c r="S755" s="234"/>
    </row>
    <row r="756">
      <c r="A756" s="234"/>
      <c r="B756" s="234"/>
      <c r="C756" s="236"/>
      <c r="D756" s="234"/>
      <c r="E756" s="234"/>
      <c r="F756" s="234"/>
      <c r="G756" s="234"/>
      <c r="H756" s="234"/>
      <c r="I756" s="234"/>
      <c r="J756" s="234"/>
      <c r="K756" s="234"/>
      <c r="M756" s="234"/>
      <c r="N756" s="234"/>
      <c r="O756" s="238"/>
      <c r="P756" s="234"/>
      <c r="Q756" s="234"/>
      <c r="R756" s="234"/>
      <c r="S756" s="234"/>
    </row>
    <row r="757">
      <c r="A757" s="234"/>
      <c r="B757" s="234"/>
      <c r="C757" s="236"/>
      <c r="D757" s="234"/>
      <c r="E757" s="234"/>
      <c r="F757" s="234"/>
      <c r="G757" s="234"/>
      <c r="H757" s="234"/>
      <c r="I757" s="234"/>
      <c r="J757" s="234"/>
      <c r="K757" s="234"/>
      <c r="M757" s="234"/>
      <c r="N757" s="234"/>
      <c r="O757" s="238"/>
      <c r="P757" s="234"/>
      <c r="Q757" s="234"/>
      <c r="R757" s="234"/>
      <c r="S757" s="234"/>
    </row>
    <row r="758">
      <c r="A758" s="234"/>
      <c r="B758" s="234"/>
      <c r="C758" s="236"/>
      <c r="D758" s="234"/>
      <c r="E758" s="234"/>
      <c r="F758" s="234"/>
      <c r="G758" s="234"/>
      <c r="H758" s="234"/>
      <c r="I758" s="234"/>
      <c r="J758" s="234"/>
      <c r="K758" s="234"/>
      <c r="M758" s="234"/>
      <c r="N758" s="234"/>
      <c r="O758" s="238"/>
      <c r="P758" s="234"/>
      <c r="Q758" s="234"/>
      <c r="R758" s="234"/>
      <c r="S758" s="234"/>
    </row>
    <row r="759">
      <c r="A759" s="234"/>
      <c r="B759" s="234"/>
      <c r="C759" s="236"/>
      <c r="D759" s="234"/>
      <c r="E759" s="234"/>
      <c r="F759" s="234"/>
      <c r="G759" s="234"/>
      <c r="H759" s="234"/>
      <c r="I759" s="234"/>
      <c r="J759" s="234"/>
      <c r="K759" s="234"/>
      <c r="M759" s="234"/>
      <c r="N759" s="234"/>
      <c r="O759" s="238"/>
      <c r="P759" s="234"/>
      <c r="Q759" s="234"/>
      <c r="R759" s="234"/>
      <c r="S759" s="234"/>
    </row>
    <row r="760">
      <c r="A760" s="234"/>
      <c r="B760" s="234"/>
      <c r="C760" s="236"/>
      <c r="D760" s="234"/>
      <c r="E760" s="234"/>
      <c r="F760" s="234"/>
      <c r="G760" s="234"/>
      <c r="H760" s="234"/>
      <c r="I760" s="234"/>
      <c r="J760" s="234"/>
      <c r="K760" s="234"/>
      <c r="M760" s="234"/>
      <c r="N760" s="234"/>
      <c r="O760" s="238"/>
      <c r="P760" s="234"/>
      <c r="Q760" s="234"/>
      <c r="R760" s="234"/>
      <c r="S760" s="234"/>
    </row>
    <row r="761">
      <c r="A761" s="234"/>
      <c r="B761" s="234"/>
      <c r="C761" s="236"/>
      <c r="D761" s="234"/>
      <c r="E761" s="234"/>
      <c r="F761" s="234"/>
      <c r="G761" s="234"/>
      <c r="H761" s="234"/>
      <c r="I761" s="234"/>
      <c r="J761" s="234"/>
      <c r="K761" s="234"/>
      <c r="M761" s="234"/>
      <c r="N761" s="234"/>
      <c r="O761" s="238"/>
      <c r="P761" s="234"/>
      <c r="Q761" s="234"/>
      <c r="R761" s="234"/>
      <c r="S761" s="234"/>
    </row>
    <row r="762">
      <c r="A762" s="234"/>
      <c r="B762" s="234"/>
      <c r="C762" s="236"/>
      <c r="D762" s="234"/>
      <c r="E762" s="234"/>
      <c r="F762" s="234"/>
      <c r="G762" s="234"/>
      <c r="H762" s="234"/>
      <c r="I762" s="234"/>
      <c r="J762" s="234"/>
      <c r="K762" s="234"/>
      <c r="M762" s="234"/>
      <c r="N762" s="234"/>
      <c r="O762" s="238"/>
      <c r="P762" s="234"/>
      <c r="Q762" s="234"/>
      <c r="R762" s="234"/>
      <c r="S762" s="234"/>
    </row>
    <row r="763">
      <c r="A763" s="234"/>
      <c r="B763" s="234"/>
      <c r="C763" s="236"/>
      <c r="D763" s="234"/>
      <c r="E763" s="234"/>
      <c r="F763" s="234"/>
      <c r="G763" s="234"/>
      <c r="H763" s="234"/>
      <c r="I763" s="234"/>
      <c r="J763" s="234"/>
      <c r="K763" s="234"/>
      <c r="M763" s="234"/>
      <c r="N763" s="234"/>
      <c r="O763" s="238"/>
      <c r="P763" s="234"/>
      <c r="Q763" s="234"/>
      <c r="R763" s="234"/>
      <c r="S763" s="234"/>
    </row>
    <row r="764">
      <c r="A764" s="234"/>
      <c r="B764" s="234"/>
      <c r="C764" s="236"/>
      <c r="D764" s="234"/>
      <c r="E764" s="234"/>
      <c r="F764" s="234"/>
      <c r="G764" s="234"/>
      <c r="H764" s="234"/>
      <c r="I764" s="234"/>
      <c r="J764" s="234"/>
      <c r="K764" s="234"/>
      <c r="M764" s="234"/>
      <c r="N764" s="234"/>
      <c r="O764" s="238"/>
      <c r="P764" s="234"/>
      <c r="Q764" s="234"/>
      <c r="R764" s="234"/>
      <c r="S764" s="234"/>
    </row>
    <row r="765">
      <c r="A765" s="234"/>
      <c r="B765" s="234"/>
      <c r="C765" s="236"/>
      <c r="D765" s="234"/>
      <c r="E765" s="234"/>
      <c r="F765" s="234"/>
      <c r="G765" s="234"/>
      <c r="H765" s="234"/>
      <c r="I765" s="234"/>
      <c r="J765" s="234"/>
      <c r="K765" s="234"/>
      <c r="M765" s="234"/>
      <c r="N765" s="234"/>
      <c r="O765" s="238"/>
      <c r="P765" s="234"/>
      <c r="Q765" s="234"/>
      <c r="R765" s="234"/>
      <c r="S765" s="234"/>
    </row>
    <row r="766">
      <c r="A766" s="234"/>
      <c r="B766" s="234"/>
      <c r="C766" s="236"/>
      <c r="D766" s="234"/>
      <c r="E766" s="234"/>
      <c r="F766" s="234"/>
      <c r="G766" s="234"/>
      <c r="H766" s="234"/>
      <c r="I766" s="234"/>
      <c r="J766" s="234"/>
      <c r="K766" s="234"/>
      <c r="M766" s="234"/>
      <c r="N766" s="234"/>
      <c r="O766" s="238"/>
      <c r="P766" s="234"/>
      <c r="Q766" s="234"/>
      <c r="R766" s="234"/>
      <c r="S766" s="234"/>
    </row>
    <row r="767">
      <c r="A767" s="234"/>
      <c r="B767" s="234"/>
      <c r="C767" s="236"/>
      <c r="D767" s="234"/>
      <c r="E767" s="234"/>
      <c r="F767" s="234"/>
      <c r="G767" s="234"/>
      <c r="H767" s="234"/>
      <c r="I767" s="234"/>
      <c r="J767" s="234"/>
      <c r="K767" s="234"/>
      <c r="M767" s="234"/>
      <c r="N767" s="234"/>
      <c r="O767" s="238"/>
      <c r="P767" s="234"/>
      <c r="Q767" s="234"/>
      <c r="R767" s="234"/>
      <c r="S767" s="234"/>
    </row>
    <row r="768">
      <c r="A768" s="234"/>
      <c r="B768" s="234"/>
      <c r="C768" s="236"/>
      <c r="D768" s="234"/>
      <c r="E768" s="234"/>
      <c r="F768" s="234"/>
      <c r="G768" s="234"/>
      <c r="H768" s="234"/>
      <c r="I768" s="234"/>
      <c r="J768" s="234"/>
      <c r="K768" s="234"/>
      <c r="M768" s="234"/>
      <c r="N768" s="234"/>
      <c r="O768" s="238"/>
      <c r="P768" s="234"/>
      <c r="Q768" s="234"/>
      <c r="R768" s="234"/>
      <c r="S768" s="234"/>
    </row>
    <row r="769">
      <c r="A769" s="234"/>
      <c r="B769" s="234"/>
      <c r="C769" s="236"/>
      <c r="D769" s="234"/>
      <c r="E769" s="234"/>
      <c r="F769" s="234"/>
      <c r="G769" s="234"/>
      <c r="H769" s="234"/>
      <c r="I769" s="234"/>
      <c r="J769" s="234"/>
      <c r="K769" s="234"/>
      <c r="M769" s="234"/>
      <c r="N769" s="234"/>
      <c r="O769" s="238"/>
      <c r="P769" s="234"/>
      <c r="Q769" s="234"/>
      <c r="R769" s="234"/>
      <c r="S769" s="234"/>
    </row>
    <row r="770">
      <c r="A770" s="234"/>
      <c r="B770" s="234"/>
      <c r="C770" s="236"/>
      <c r="D770" s="234"/>
      <c r="E770" s="234"/>
      <c r="F770" s="234"/>
      <c r="G770" s="234"/>
      <c r="H770" s="234"/>
      <c r="I770" s="234"/>
      <c r="J770" s="234"/>
      <c r="K770" s="234"/>
      <c r="M770" s="234"/>
      <c r="N770" s="234"/>
      <c r="O770" s="238"/>
      <c r="P770" s="234"/>
      <c r="Q770" s="234"/>
      <c r="R770" s="234"/>
      <c r="S770" s="234"/>
    </row>
    <row r="771">
      <c r="A771" s="234"/>
      <c r="B771" s="234"/>
      <c r="C771" s="236"/>
      <c r="D771" s="234"/>
      <c r="E771" s="234"/>
      <c r="F771" s="234"/>
      <c r="G771" s="234"/>
      <c r="H771" s="234"/>
      <c r="I771" s="234"/>
      <c r="J771" s="234"/>
      <c r="K771" s="234"/>
      <c r="M771" s="234"/>
      <c r="N771" s="234"/>
      <c r="O771" s="238"/>
      <c r="P771" s="234"/>
      <c r="Q771" s="234"/>
      <c r="R771" s="234"/>
      <c r="S771" s="234"/>
    </row>
    <row r="772">
      <c r="A772" s="234"/>
      <c r="B772" s="234"/>
      <c r="C772" s="236"/>
      <c r="D772" s="234"/>
      <c r="E772" s="234"/>
      <c r="F772" s="234"/>
      <c r="G772" s="234"/>
      <c r="H772" s="234"/>
      <c r="I772" s="234"/>
      <c r="J772" s="234"/>
      <c r="K772" s="234"/>
      <c r="M772" s="234"/>
      <c r="N772" s="234"/>
      <c r="O772" s="238"/>
      <c r="P772" s="234"/>
      <c r="Q772" s="234"/>
      <c r="R772" s="234"/>
      <c r="S772" s="234"/>
    </row>
    <row r="773">
      <c r="A773" s="234"/>
      <c r="B773" s="234"/>
      <c r="C773" s="236"/>
      <c r="D773" s="234"/>
      <c r="E773" s="234"/>
      <c r="F773" s="234"/>
      <c r="G773" s="234"/>
      <c r="H773" s="234"/>
      <c r="I773" s="234"/>
      <c r="J773" s="234"/>
      <c r="K773" s="234"/>
      <c r="M773" s="234"/>
      <c r="N773" s="234"/>
      <c r="O773" s="238"/>
      <c r="P773" s="234"/>
      <c r="Q773" s="234"/>
      <c r="R773" s="234"/>
      <c r="S773" s="234"/>
    </row>
    <row r="774">
      <c r="A774" s="234"/>
      <c r="B774" s="234"/>
      <c r="C774" s="236"/>
      <c r="D774" s="234"/>
      <c r="E774" s="234"/>
      <c r="F774" s="234"/>
      <c r="G774" s="234"/>
      <c r="H774" s="234"/>
      <c r="I774" s="234"/>
      <c r="J774" s="234"/>
      <c r="K774" s="234"/>
      <c r="M774" s="234"/>
      <c r="N774" s="234"/>
      <c r="O774" s="238"/>
      <c r="P774" s="234"/>
      <c r="Q774" s="234"/>
      <c r="R774" s="234"/>
      <c r="S774" s="234"/>
    </row>
    <row r="775">
      <c r="A775" s="234"/>
      <c r="B775" s="234"/>
      <c r="C775" s="236"/>
      <c r="D775" s="234"/>
      <c r="E775" s="234"/>
      <c r="F775" s="234"/>
      <c r="G775" s="234"/>
      <c r="H775" s="234"/>
      <c r="I775" s="234"/>
      <c r="J775" s="234"/>
      <c r="K775" s="234"/>
      <c r="M775" s="234"/>
      <c r="N775" s="234"/>
      <c r="O775" s="238"/>
      <c r="P775" s="234"/>
      <c r="Q775" s="234"/>
      <c r="R775" s="234"/>
      <c r="S775" s="234"/>
    </row>
    <row r="776">
      <c r="A776" s="234"/>
      <c r="B776" s="234"/>
      <c r="C776" s="236"/>
      <c r="D776" s="234"/>
      <c r="E776" s="234"/>
      <c r="F776" s="234"/>
      <c r="G776" s="234"/>
      <c r="H776" s="234"/>
      <c r="I776" s="234"/>
      <c r="J776" s="234"/>
      <c r="K776" s="234"/>
      <c r="M776" s="234"/>
      <c r="N776" s="234"/>
      <c r="O776" s="238"/>
      <c r="P776" s="234"/>
      <c r="Q776" s="234"/>
      <c r="R776" s="234"/>
      <c r="S776" s="234"/>
    </row>
    <row r="777">
      <c r="A777" s="234"/>
      <c r="B777" s="234"/>
      <c r="C777" s="236"/>
      <c r="D777" s="234"/>
      <c r="E777" s="234"/>
      <c r="F777" s="234"/>
      <c r="G777" s="234"/>
      <c r="H777" s="234"/>
      <c r="I777" s="234"/>
      <c r="J777" s="234"/>
      <c r="K777" s="234"/>
      <c r="M777" s="234"/>
      <c r="N777" s="234"/>
      <c r="O777" s="238"/>
      <c r="P777" s="234"/>
      <c r="Q777" s="234"/>
      <c r="R777" s="234"/>
      <c r="S777" s="234"/>
    </row>
    <row r="778">
      <c r="A778" s="234"/>
      <c r="B778" s="234"/>
      <c r="C778" s="236"/>
      <c r="D778" s="234"/>
      <c r="E778" s="234"/>
      <c r="F778" s="234"/>
      <c r="G778" s="234"/>
      <c r="H778" s="234"/>
      <c r="I778" s="234"/>
      <c r="J778" s="234"/>
      <c r="K778" s="234"/>
      <c r="M778" s="234"/>
      <c r="N778" s="234"/>
      <c r="O778" s="238"/>
      <c r="P778" s="234"/>
      <c r="Q778" s="234"/>
      <c r="R778" s="234"/>
      <c r="S778" s="234"/>
    </row>
    <row r="779">
      <c r="A779" s="234"/>
      <c r="B779" s="234"/>
      <c r="C779" s="236"/>
      <c r="D779" s="234"/>
      <c r="E779" s="234"/>
      <c r="F779" s="234"/>
      <c r="G779" s="234"/>
      <c r="H779" s="234"/>
      <c r="I779" s="234"/>
      <c r="J779" s="234"/>
      <c r="K779" s="234"/>
      <c r="M779" s="234"/>
      <c r="N779" s="234"/>
      <c r="O779" s="238"/>
      <c r="P779" s="234"/>
      <c r="Q779" s="234"/>
      <c r="R779" s="234"/>
      <c r="S779" s="234"/>
    </row>
    <row r="780">
      <c r="A780" s="234"/>
      <c r="B780" s="234"/>
      <c r="C780" s="236"/>
      <c r="D780" s="234"/>
      <c r="E780" s="234"/>
      <c r="F780" s="234"/>
      <c r="G780" s="234"/>
      <c r="H780" s="234"/>
      <c r="I780" s="234"/>
      <c r="J780" s="234"/>
      <c r="K780" s="234"/>
      <c r="M780" s="234"/>
      <c r="N780" s="234"/>
      <c r="O780" s="238"/>
      <c r="P780" s="234"/>
      <c r="Q780" s="234"/>
      <c r="R780" s="234"/>
      <c r="S780" s="234"/>
    </row>
    <row r="781">
      <c r="A781" s="234"/>
      <c r="B781" s="234"/>
      <c r="C781" s="236"/>
      <c r="D781" s="234"/>
      <c r="E781" s="234"/>
      <c r="F781" s="234"/>
      <c r="G781" s="234"/>
      <c r="H781" s="234"/>
      <c r="I781" s="234"/>
      <c r="J781" s="234"/>
      <c r="K781" s="234"/>
      <c r="M781" s="234"/>
      <c r="N781" s="234"/>
      <c r="O781" s="238"/>
      <c r="P781" s="234"/>
      <c r="Q781" s="234"/>
      <c r="R781" s="234"/>
      <c r="S781" s="234"/>
    </row>
    <row r="782">
      <c r="A782" s="234"/>
      <c r="B782" s="234"/>
      <c r="C782" s="236"/>
      <c r="D782" s="234"/>
      <c r="E782" s="234"/>
      <c r="F782" s="234"/>
      <c r="G782" s="234"/>
      <c r="H782" s="234"/>
      <c r="I782" s="234"/>
      <c r="J782" s="234"/>
      <c r="K782" s="234"/>
      <c r="M782" s="234"/>
      <c r="N782" s="234"/>
      <c r="O782" s="238"/>
      <c r="P782" s="234"/>
      <c r="Q782" s="234"/>
      <c r="R782" s="234"/>
      <c r="S782" s="234"/>
    </row>
    <row r="783">
      <c r="A783" s="234"/>
      <c r="B783" s="234"/>
      <c r="C783" s="236"/>
      <c r="D783" s="234"/>
      <c r="E783" s="234"/>
      <c r="F783" s="234"/>
      <c r="G783" s="234"/>
      <c r="H783" s="234"/>
      <c r="I783" s="234"/>
      <c r="J783" s="234"/>
      <c r="K783" s="234"/>
      <c r="M783" s="234"/>
      <c r="N783" s="234"/>
      <c r="O783" s="238"/>
      <c r="P783" s="234"/>
      <c r="Q783" s="234"/>
      <c r="R783" s="234"/>
      <c r="S783" s="234"/>
    </row>
    <row r="784">
      <c r="A784" s="234"/>
      <c r="B784" s="234"/>
      <c r="C784" s="236"/>
      <c r="D784" s="234"/>
      <c r="E784" s="234"/>
      <c r="F784" s="234"/>
      <c r="G784" s="234"/>
      <c r="H784" s="234"/>
      <c r="I784" s="234"/>
      <c r="J784" s="234"/>
      <c r="K784" s="234"/>
      <c r="M784" s="234"/>
      <c r="N784" s="234"/>
      <c r="O784" s="238"/>
      <c r="P784" s="234"/>
      <c r="Q784" s="234"/>
      <c r="R784" s="234"/>
      <c r="S784" s="234"/>
    </row>
    <row r="785">
      <c r="A785" s="234"/>
      <c r="B785" s="234"/>
      <c r="C785" s="236"/>
      <c r="D785" s="234"/>
      <c r="E785" s="234"/>
      <c r="F785" s="234"/>
      <c r="G785" s="234"/>
      <c r="H785" s="234"/>
      <c r="I785" s="234"/>
      <c r="J785" s="234"/>
      <c r="K785" s="234"/>
      <c r="M785" s="234"/>
      <c r="N785" s="234"/>
      <c r="O785" s="238"/>
      <c r="P785" s="234"/>
      <c r="Q785" s="234"/>
      <c r="R785" s="234"/>
      <c r="S785" s="234"/>
    </row>
    <row r="786">
      <c r="A786" s="234"/>
      <c r="B786" s="234"/>
      <c r="C786" s="236"/>
      <c r="D786" s="234"/>
      <c r="E786" s="234"/>
      <c r="F786" s="234"/>
      <c r="G786" s="234"/>
      <c r="H786" s="234"/>
      <c r="I786" s="234"/>
      <c r="J786" s="234"/>
      <c r="K786" s="234"/>
      <c r="M786" s="234"/>
      <c r="N786" s="234"/>
      <c r="O786" s="238"/>
      <c r="P786" s="234"/>
      <c r="Q786" s="234"/>
      <c r="R786" s="234"/>
      <c r="S786" s="234"/>
    </row>
    <row r="787">
      <c r="A787" s="234"/>
      <c r="B787" s="234"/>
      <c r="C787" s="236"/>
      <c r="D787" s="234"/>
      <c r="E787" s="234"/>
      <c r="F787" s="234"/>
      <c r="G787" s="234"/>
      <c r="H787" s="234"/>
      <c r="I787" s="234"/>
      <c r="J787" s="234"/>
      <c r="K787" s="234"/>
      <c r="M787" s="234"/>
      <c r="N787" s="234"/>
      <c r="O787" s="238"/>
      <c r="P787" s="234"/>
      <c r="Q787" s="234"/>
      <c r="R787" s="234"/>
      <c r="S787" s="234"/>
    </row>
    <row r="788">
      <c r="A788" s="234"/>
      <c r="B788" s="234"/>
      <c r="C788" s="236"/>
      <c r="D788" s="234"/>
      <c r="E788" s="234"/>
      <c r="F788" s="234"/>
      <c r="G788" s="234"/>
      <c r="H788" s="234"/>
      <c r="I788" s="234"/>
      <c r="J788" s="234"/>
      <c r="K788" s="234"/>
      <c r="M788" s="234"/>
      <c r="N788" s="234"/>
      <c r="O788" s="238"/>
      <c r="P788" s="234"/>
      <c r="Q788" s="234"/>
      <c r="R788" s="234"/>
      <c r="S788" s="234"/>
    </row>
    <row r="789">
      <c r="A789" s="234"/>
      <c r="B789" s="234"/>
      <c r="C789" s="236"/>
      <c r="D789" s="234"/>
      <c r="E789" s="234"/>
      <c r="F789" s="234"/>
      <c r="G789" s="234"/>
      <c r="H789" s="234"/>
      <c r="I789" s="234"/>
      <c r="J789" s="234"/>
      <c r="K789" s="234"/>
      <c r="M789" s="234"/>
      <c r="N789" s="234"/>
      <c r="O789" s="238"/>
      <c r="P789" s="234"/>
      <c r="Q789" s="234"/>
      <c r="R789" s="234"/>
      <c r="S789" s="234"/>
    </row>
    <row r="790">
      <c r="A790" s="234"/>
      <c r="B790" s="234"/>
      <c r="C790" s="236"/>
      <c r="D790" s="234"/>
      <c r="E790" s="234"/>
      <c r="F790" s="234"/>
      <c r="G790" s="234"/>
      <c r="H790" s="234"/>
      <c r="I790" s="234"/>
      <c r="J790" s="234"/>
      <c r="K790" s="234"/>
      <c r="M790" s="234"/>
      <c r="N790" s="234"/>
      <c r="O790" s="238"/>
      <c r="P790" s="234"/>
      <c r="Q790" s="234"/>
      <c r="R790" s="234"/>
      <c r="S790" s="234"/>
    </row>
    <row r="791">
      <c r="A791" s="234"/>
      <c r="B791" s="234"/>
      <c r="C791" s="236"/>
      <c r="D791" s="234"/>
      <c r="E791" s="234"/>
      <c r="F791" s="234"/>
      <c r="G791" s="234"/>
      <c r="H791" s="234"/>
      <c r="I791" s="234"/>
      <c r="J791" s="234"/>
      <c r="K791" s="234"/>
      <c r="M791" s="234"/>
      <c r="N791" s="234"/>
      <c r="O791" s="238"/>
      <c r="P791" s="234"/>
      <c r="Q791" s="234"/>
      <c r="R791" s="234"/>
      <c r="S791" s="234"/>
    </row>
    <row r="792">
      <c r="A792" s="234"/>
      <c r="B792" s="234"/>
      <c r="C792" s="236"/>
      <c r="D792" s="234"/>
      <c r="E792" s="234"/>
      <c r="F792" s="234"/>
      <c r="G792" s="234"/>
      <c r="H792" s="234"/>
      <c r="I792" s="234"/>
      <c r="J792" s="234"/>
      <c r="K792" s="234"/>
      <c r="M792" s="234"/>
      <c r="N792" s="234"/>
      <c r="O792" s="238"/>
      <c r="P792" s="234"/>
      <c r="Q792" s="234"/>
      <c r="R792" s="234"/>
      <c r="S792" s="234"/>
    </row>
    <row r="793">
      <c r="A793" s="234"/>
      <c r="B793" s="234"/>
      <c r="C793" s="236"/>
      <c r="D793" s="234"/>
      <c r="E793" s="234"/>
      <c r="F793" s="234"/>
      <c r="G793" s="234"/>
      <c r="H793" s="234"/>
      <c r="I793" s="234"/>
      <c r="J793" s="234"/>
      <c r="K793" s="234"/>
      <c r="M793" s="234"/>
      <c r="N793" s="234"/>
      <c r="O793" s="238"/>
      <c r="P793" s="234"/>
      <c r="Q793" s="234"/>
      <c r="R793" s="234"/>
      <c r="S793" s="234"/>
    </row>
    <row r="794">
      <c r="A794" s="234"/>
      <c r="B794" s="234"/>
      <c r="C794" s="236"/>
      <c r="D794" s="234"/>
      <c r="E794" s="234"/>
      <c r="F794" s="234"/>
      <c r="G794" s="234"/>
      <c r="H794" s="234"/>
      <c r="I794" s="234"/>
      <c r="J794" s="234"/>
      <c r="K794" s="234"/>
      <c r="M794" s="234"/>
      <c r="N794" s="234"/>
      <c r="O794" s="238"/>
      <c r="P794" s="234"/>
      <c r="Q794" s="234"/>
      <c r="R794" s="234"/>
      <c r="S794" s="234"/>
    </row>
    <row r="795">
      <c r="A795" s="234"/>
      <c r="B795" s="234"/>
      <c r="C795" s="236"/>
      <c r="D795" s="234"/>
      <c r="E795" s="234"/>
      <c r="F795" s="234"/>
      <c r="G795" s="234"/>
      <c r="H795" s="234"/>
      <c r="I795" s="234"/>
      <c r="J795" s="234"/>
      <c r="K795" s="234"/>
      <c r="M795" s="234"/>
      <c r="N795" s="234"/>
      <c r="O795" s="238"/>
      <c r="P795" s="234"/>
      <c r="Q795" s="234"/>
      <c r="R795" s="234"/>
      <c r="S795" s="234"/>
    </row>
    <row r="796">
      <c r="A796" s="234"/>
      <c r="B796" s="234"/>
      <c r="C796" s="236"/>
      <c r="D796" s="234"/>
      <c r="E796" s="234"/>
      <c r="F796" s="234"/>
      <c r="G796" s="234"/>
      <c r="H796" s="234"/>
      <c r="I796" s="234"/>
      <c r="J796" s="234"/>
      <c r="K796" s="234"/>
      <c r="M796" s="234"/>
      <c r="N796" s="234"/>
      <c r="O796" s="238"/>
      <c r="P796" s="234"/>
      <c r="Q796" s="234"/>
      <c r="R796" s="234"/>
      <c r="S796" s="234"/>
    </row>
    <row r="797">
      <c r="A797" s="234"/>
      <c r="B797" s="234"/>
      <c r="C797" s="236"/>
      <c r="D797" s="234"/>
      <c r="E797" s="234"/>
      <c r="F797" s="234"/>
      <c r="G797" s="234"/>
      <c r="H797" s="234"/>
      <c r="I797" s="234"/>
      <c r="J797" s="234"/>
      <c r="K797" s="234"/>
      <c r="M797" s="234"/>
      <c r="N797" s="234"/>
      <c r="O797" s="238"/>
      <c r="P797" s="234"/>
      <c r="Q797" s="234"/>
      <c r="R797" s="234"/>
      <c r="S797" s="234"/>
    </row>
    <row r="798">
      <c r="A798" s="234"/>
      <c r="B798" s="234"/>
      <c r="C798" s="236"/>
      <c r="D798" s="234"/>
      <c r="E798" s="234"/>
      <c r="F798" s="234"/>
      <c r="G798" s="234"/>
      <c r="H798" s="234"/>
      <c r="I798" s="234"/>
      <c r="J798" s="234"/>
      <c r="K798" s="234"/>
      <c r="M798" s="234"/>
      <c r="N798" s="234"/>
      <c r="O798" s="238"/>
      <c r="P798" s="234"/>
      <c r="Q798" s="234"/>
      <c r="R798" s="234"/>
      <c r="S798" s="234"/>
    </row>
    <row r="799">
      <c r="A799" s="234"/>
      <c r="B799" s="234"/>
      <c r="C799" s="236"/>
      <c r="D799" s="234"/>
      <c r="E799" s="234"/>
      <c r="F799" s="234"/>
      <c r="G799" s="234"/>
      <c r="H799" s="234"/>
      <c r="I799" s="234"/>
      <c r="J799" s="234"/>
      <c r="K799" s="234"/>
      <c r="M799" s="234"/>
      <c r="N799" s="234"/>
      <c r="O799" s="238"/>
      <c r="P799" s="234"/>
      <c r="Q799" s="234"/>
      <c r="R799" s="234"/>
      <c r="S799" s="234"/>
    </row>
    <row r="800">
      <c r="A800" s="234"/>
      <c r="B800" s="234"/>
      <c r="C800" s="236"/>
      <c r="D800" s="234"/>
      <c r="E800" s="234"/>
      <c r="F800" s="234"/>
      <c r="G800" s="234"/>
      <c r="H800" s="234"/>
      <c r="I800" s="234"/>
      <c r="J800" s="234"/>
      <c r="K800" s="234"/>
      <c r="M800" s="234"/>
      <c r="N800" s="234"/>
      <c r="O800" s="238"/>
      <c r="P800" s="234"/>
      <c r="Q800" s="234"/>
      <c r="R800" s="234"/>
      <c r="S800" s="234"/>
    </row>
    <row r="801">
      <c r="A801" s="234"/>
      <c r="B801" s="234"/>
      <c r="C801" s="236"/>
      <c r="D801" s="234"/>
      <c r="E801" s="234"/>
      <c r="F801" s="234"/>
      <c r="G801" s="234"/>
      <c r="H801" s="234"/>
      <c r="I801" s="234"/>
      <c r="J801" s="234"/>
      <c r="K801" s="234"/>
      <c r="M801" s="234"/>
      <c r="N801" s="234"/>
      <c r="O801" s="238"/>
      <c r="P801" s="234"/>
      <c r="Q801" s="234"/>
      <c r="R801" s="234"/>
      <c r="S801" s="234"/>
    </row>
    <row r="802">
      <c r="A802" s="234"/>
      <c r="B802" s="234"/>
      <c r="C802" s="236"/>
      <c r="D802" s="234"/>
      <c r="E802" s="234"/>
      <c r="F802" s="234"/>
      <c r="G802" s="234"/>
      <c r="H802" s="234"/>
      <c r="I802" s="234"/>
      <c r="J802" s="234"/>
      <c r="K802" s="234"/>
      <c r="M802" s="234"/>
      <c r="N802" s="234"/>
      <c r="O802" s="238"/>
      <c r="P802" s="234"/>
      <c r="Q802" s="234"/>
      <c r="R802" s="234"/>
      <c r="S802" s="234"/>
    </row>
    <row r="803">
      <c r="A803" s="234"/>
      <c r="B803" s="234"/>
      <c r="C803" s="236"/>
      <c r="D803" s="234"/>
      <c r="E803" s="234"/>
      <c r="F803" s="234"/>
      <c r="G803" s="234"/>
      <c r="H803" s="234"/>
      <c r="I803" s="234"/>
      <c r="J803" s="234"/>
      <c r="K803" s="234"/>
      <c r="M803" s="234"/>
      <c r="N803" s="234"/>
      <c r="O803" s="238"/>
      <c r="P803" s="234"/>
      <c r="Q803" s="234"/>
      <c r="R803" s="234"/>
      <c r="S803" s="234"/>
    </row>
    <row r="804">
      <c r="A804" s="234"/>
      <c r="B804" s="234"/>
      <c r="C804" s="236"/>
      <c r="D804" s="234"/>
      <c r="E804" s="234"/>
      <c r="F804" s="234"/>
      <c r="G804" s="234"/>
      <c r="H804" s="234"/>
      <c r="I804" s="234"/>
      <c r="J804" s="234"/>
      <c r="K804" s="234"/>
      <c r="M804" s="234"/>
      <c r="N804" s="234"/>
      <c r="O804" s="238"/>
      <c r="P804" s="234"/>
      <c r="Q804" s="234"/>
      <c r="R804" s="234"/>
      <c r="S804" s="234"/>
    </row>
    <row r="805">
      <c r="A805" s="234"/>
      <c r="B805" s="234"/>
      <c r="C805" s="236"/>
      <c r="D805" s="234"/>
      <c r="E805" s="234"/>
      <c r="F805" s="234"/>
      <c r="G805" s="234"/>
      <c r="H805" s="234"/>
      <c r="I805" s="234"/>
      <c r="J805" s="234"/>
      <c r="K805" s="234"/>
      <c r="M805" s="234"/>
      <c r="N805" s="234"/>
      <c r="O805" s="238"/>
      <c r="P805" s="234"/>
      <c r="Q805" s="234"/>
      <c r="R805" s="234"/>
      <c r="S805" s="234"/>
    </row>
    <row r="806">
      <c r="A806" s="234"/>
      <c r="B806" s="234"/>
      <c r="C806" s="236"/>
      <c r="D806" s="234"/>
      <c r="E806" s="234"/>
      <c r="F806" s="234"/>
      <c r="G806" s="234"/>
      <c r="H806" s="234"/>
      <c r="I806" s="234"/>
      <c r="J806" s="234"/>
      <c r="K806" s="234"/>
      <c r="M806" s="234"/>
      <c r="N806" s="234"/>
      <c r="O806" s="238"/>
      <c r="P806" s="234"/>
      <c r="Q806" s="234"/>
      <c r="R806" s="234"/>
      <c r="S806" s="234"/>
    </row>
    <row r="807">
      <c r="A807" s="234"/>
      <c r="B807" s="234"/>
      <c r="C807" s="236"/>
      <c r="D807" s="234"/>
      <c r="E807" s="234"/>
      <c r="F807" s="234"/>
      <c r="G807" s="234"/>
      <c r="H807" s="234"/>
      <c r="I807" s="234"/>
      <c r="J807" s="234"/>
      <c r="K807" s="234"/>
      <c r="M807" s="234"/>
      <c r="N807" s="234"/>
      <c r="O807" s="238"/>
      <c r="P807" s="234"/>
      <c r="Q807" s="234"/>
      <c r="R807" s="234"/>
      <c r="S807" s="234"/>
    </row>
    <row r="808">
      <c r="A808" s="234"/>
      <c r="B808" s="234"/>
      <c r="C808" s="236"/>
      <c r="D808" s="234"/>
      <c r="E808" s="234"/>
      <c r="F808" s="234"/>
      <c r="G808" s="234"/>
      <c r="H808" s="234"/>
      <c r="I808" s="234"/>
      <c r="J808" s="234"/>
      <c r="K808" s="234"/>
      <c r="M808" s="234"/>
      <c r="N808" s="234"/>
      <c r="O808" s="238"/>
      <c r="P808" s="234"/>
      <c r="Q808" s="234"/>
      <c r="R808" s="234"/>
      <c r="S808" s="234"/>
    </row>
    <row r="809">
      <c r="A809" s="234"/>
      <c r="B809" s="234"/>
      <c r="C809" s="236"/>
      <c r="D809" s="234"/>
      <c r="E809" s="234"/>
      <c r="F809" s="234"/>
      <c r="G809" s="234"/>
      <c r="H809" s="234"/>
      <c r="I809" s="234"/>
      <c r="J809" s="234"/>
      <c r="K809" s="234"/>
      <c r="M809" s="234"/>
      <c r="N809" s="234"/>
      <c r="O809" s="238"/>
      <c r="P809" s="234"/>
      <c r="Q809" s="234"/>
      <c r="R809" s="234"/>
      <c r="S809" s="234"/>
    </row>
    <row r="810">
      <c r="A810" s="234"/>
      <c r="B810" s="234"/>
      <c r="C810" s="236"/>
      <c r="D810" s="234"/>
      <c r="E810" s="234"/>
      <c r="F810" s="234"/>
      <c r="G810" s="234"/>
      <c r="H810" s="234"/>
      <c r="I810" s="234"/>
      <c r="J810" s="234"/>
      <c r="K810" s="234"/>
      <c r="M810" s="234"/>
      <c r="N810" s="234"/>
      <c r="O810" s="238"/>
      <c r="P810" s="234"/>
      <c r="Q810" s="234"/>
      <c r="R810" s="234"/>
      <c r="S810" s="234"/>
    </row>
    <row r="811">
      <c r="A811" s="234"/>
      <c r="B811" s="234"/>
      <c r="C811" s="236"/>
      <c r="D811" s="234"/>
      <c r="E811" s="234"/>
      <c r="F811" s="234"/>
      <c r="G811" s="234"/>
      <c r="H811" s="234"/>
      <c r="I811" s="234"/>
      <c r="J811" s="234"/>
      <c r="K811" s="234"/>
      <c r="M811" s="234"/>
      <c r="N811" s="234"/>
      <c r="O811" s="238"/>
      <c r="P811" s="234"/>
      <c r="Q811" s="234"/>
      <c r="R811" s="234"/>
      <c r="S811" s="234"/>
    </row>
    <row r="812">
      <c r="A812" s="234"/>
      <c r="B812" s="234"/>
      <c r="C812" s="236"/>
      <c r="D812" s="234"/>
      <c r="E812" s="234"/>
      <c r="F812" s="234"/>
      <c r="G812" s="234"/>
      <c r="H812" s="234"/>
      <c r="I812" s="234"/>
      <c r="J812" s="234"/>
      <c r="K812" s="234"/>
      <c r="M812" s="234"/>
      <c r="N812" s="234"/>
      <c r="O812" s="238"/>
      <c r="P812" s="234"/>
      <c r="Q812" s="234"/>
      <c r="R812" s="234"/>
      <c r="S812" s="234"/>
    </row>
    <row r="813">
      <c r="A813" s="234"/>
      <c r="B813" s="234"/>
      <c r="C813" s="236"/>
      <c r="D813" s="234"/>
      <c r="E813" s="234"/>
      <c r="F813" s="234"/>
      <c r="G813" s="234"/>
      <c r="H813" s="234"/>
      <c r="I813" s="234"/>
      <c r="J813" s="234"/>
      <c r="K813" s="234"/>
      <c r="M813" s="234"/>
      <c r="N813" s="234"/>
      <c r="O813" s="238"/>
      <c r="P813" s="234"/>
      <c r="Q813" s="234"/>
      <c r="R813" s="234"/>
      <c r="S813" s="234"/>
    </row>
    <row r="814">
      <c r="A814" s="234"/>
      <c r="B814" s="234"/>
      <c r="C814" s="236"/>
      <c r="D814" s="234"/>
      <c r="E814" s="234"/>
      <c r="F814" s="234"/>
      <c r="G814" s="234"/>
      <c r="H814" s="234"/>
      <c r="I814" s="234"/>
      <c r="J814" s="234"/>
      <c r="K814" s="234"/>
      <c r="M814" s="234"/>
      <c r="N814" s="234"/>
      <c r="O814" s="238"/>
      <c r="P814" s="234"/>
      <c r="Q814" s="234"/>
      <c r="R814" s="234"/>
      <c r="S814" s="234"/>
    </row>
    <row r="815">
      <c r="A815" s="234"/>
      <c r="B815" s="234"/>
      <c r="C815" s="236"/>
      <c r="D815" s="234"/>
      <c r="E815" s="234"/>
      <c r="F815" s="234"/>
      <c r="G815" s="234"/>
      <c r="H815" s="234"/>
      <c r="I815" s="234"/>
      <c r="J815" s="234"/>
      <c r="K815" s="234"/>
      <c r="M815" s="234"/>
      <c r="N815" s="234"/>
      <c r="O815" s="238"/>
      <c r="P815" s="234"/>
      <c r="Q815" s="234"/>
      <c r="R815" s="234"/>
      <c r="S815" s="234"/>
    </row>
    <row r="816">
      <c r="A816" s="234"/>
      <c r="B816" s="234"/>
      <c r="C816" s="236"/>
      <c r="D816" s="234"/>
      <c r="E816" s="234"/>
      <c r="F816" s="234"/>
      <c r="G816" s="234"/>
      <c r="H816" s="234"/>
      <c r="I816" s="234"/>
      <c r="J816" s="234"/>
      <c r="K816" s="234"/>
      <c r="M816" s="234"/>
      <c r="N816" s="234"/>
      <c r="O816" s="238"/>
      <c r="P816" s="234"/>
      <c r="Q816" s="234"/>
      <c r="R816" s="234"/>
      <c r="S816" s="234"/>
    </row>
    <row r="817">
      <c r="A817" s="234"/>
      <c r="B817" s="234"/>
      <c r="C817" s="236"/>
      <c r="D817" s="234"/>
      <c r="E817" s="234"/>
      <c r="F817" s="234"/>
      <c r="G817" s="234"/>
      <c r="H817" s="234"/>
      <c r="I817" s="234"/>
      <c r="J817" s="234"/>
      <c r="K817" s="234"/>
      <c r="M817" s="234"/>
      <c r="N817" s="234"/>
      <c r="O817" s="238"/>
      <c r="P817" s="234"/>
      <c r="Q817" s="234"/>
      <c r="R817" s="234"/>
      <c r="S817" s="234"/>
    </row>
    <row r="818">
      <c r="A818" s="234"/>
      <c r="B818" s="234"/>
      <c r="C818" s="236"/>
      <c r="D818" s="234"/>
      <c r="E818" s="234"/>
      <c r="F818" s="234"/>
      <c r="G818" s="234"/>
      <c r="H818" s="234"/>
      <c r="I818" s="234"/>
      <c r="J818" s="234"/>
      <c r="K818" s="234"/>
      <c r="M818" s="234"/>
      <c r="N818" s="234"/>
      <c r="O818" s="238"/>
      <c r="P818" s="234"/>
      <c r="Q818" s="234"/>
      <c r="R818" s="234"/>
      <c r="S818" s="234"/>
    </row>
    <row r="819">
      <c r="A819" s="234"/>
      <c r="B819" s="234"/>
      <c r="C819" s="236"/>
      <c r="D819" s="234"/>
      <c r="E819" s="234"/>
      <c r="F819" s="234"/>
      <c r="G819" s="234"/>
      <c r="H819" s="234"/>
      <c r="I819" s="234"/>
      <c r="J819" s="234"/>
      <c r="K819" s="234"/>
      <c r="M819" s="234"/>
      <c r="N819" s="234"/>
      <c r="O819" s="238"/>
      <c r="P819" s="234"/>
      <c r="Q819" s="234"/>
      <c r="R819" s="234"/>
      <c r="S819" s="234"/>
    </row>
    <row r="820">
      <c r="A820" s="234"/>
      <c r="B820" s="234"/>
      <c r="C820" s="236"/>
      <c r="D820" s="234"/>
      <c r="E820" s="234"/>
      <c r="F820" s="234"/>
      <c r="G820" s="234"/>
      <c r="H820" s="234"/>
      <c r="I820" s="234"/>
      <c r="J820" s="234"/>
      <c r="K820" s="234"/>
      <c r="M820" s="234"/>
      <c r="N820" s="234"/>
      <c r="O820" s="238"/>
      <c r="P820" s="234"/>
      <c r="Q820" s="234"/>
      <c r="R820" s="234"/>
      <c r="S820" s="234"/>
    </row>
    <row r="821">
      <c r="A821" s="234"/>
      <c r="B821" s="234"/>
      <c r="C821" s="236"/>
      <c r="D821" s="234"/>
      <c r="E821" s="234"/>
      <c r="F821" s="234"/>
      <c r="G821" s="234"/>
      <c r="H821" s="234"/>
      <c r="I821" s="234"/>
      <c r="J821" s="234"/>
      <c r="K821" s="234"/>
      <c r="M821" s="234"/>
      <c r="N821" s="234"/>
      <c r="O821" s="238"/>
      <c r="P821" s="234"/>
      <c r="Q821" s="234"/>
      <c r="R821" s="234"/>
      <c r="S821" s="234"/>
    </row>
    <row r="822">
      <c r="A822" s="234"/>
      <c r="B822" s="234"/>
      <c r="C822" s="236"/>
      <c r="D822" s="234"/>
      <c r="E822" s="234"/>
      <c r="F822" s="234"/>
      <c r="G822" s="234"/>
      <c r="H822" s="234"/>
      <c r="I822" s="234"/>
      <c r="J822" s="234"/>
      <c r="K822" s="234"/>
      <c r="M822" s="234"/>
      <c r="N822" s="234"/>
      <c r="O822" s="238"/>
      <c r="P822" s="234"/>
      <c r="Q822" s="234"/>
      <c r="R822" s="234"/>
      <c r="S822" s="234"/>
    </row>
    <row r="823">
      <c r="A823" s="234"/>
      <c r="B823" s="234"/>
      <c r="C823" s="236"/>
      <c r="D823" s="234"/>
      <c r="E823" s="234"/>
      <c r="F823" s="234"/>
      <c r="G823" s="234"/>
      <c r="H823" s="234"/>
      <c r="I823" s="234"/>
      <c r="J823" s="234"/>
      <c r="K823" s="234"/>
      <c r="M823" s="234"/>
      <c r="N823" s="234"/>
      <c r="O823" s="238"/>
      <c r="P823" s="234"/>
      <c r="Q823" s="234"/>
      <c r="R823" s="234"/>
      <c r="S823" s="234"/>
    </row>
    <row r="824">
      <c r="A824" s="234"/>
      <c r="B824" s="234"/>
      <c r="C824" s="236"/>
      <c r="D824" s="234"/>
      <c r="E824" s="234"/>
      <c r="F824" s="234"/>
      <c r="G824" s="234"/>
      <c r="H824" s="234"/>
      <c r="I824" s="234"/>
      <c r="J824" s="234"/>
      <c r="K824" s="234"/>
      <c r="M824" s="234"/>
      <c r="N824" s="234"/>
      <c r="O824" s="238"/>
      <c r="P824" s="234"/>
      <c r="Q824" s="234"/>
      <c r="R824" s="234"/>
      <c r="S824" s="234"/>
    </row>
    <row r="825">
      <c r="A825" s="234"/>
      <c r="B825" s="234"/>
      <c r="C825" s="236"/>
      <c r="D825" s="234"/>
      <c r="E825" s="234"/>
      <c r="F825" s="234"/>
      <c r="G825" s="234"/>
      <c r="H825" s="234"/>
      <c r="I825" s="234"/>
      <c r="J825" s="234"/>
      <c r="K825" s="234"/>
      <c r="M825" s="234"/>
      <c r="N825" s="234"/>
      <c r="O825" s="238"/>
      <c r="P825" s="234"/>
      <c r="Q825" s="234"/>
      <c r="R825" s="234"/>
      <c r="S825" s="234"/>
    </row>
    <row r="826">
      <c r="A826" s="234"/>
      <c r="B826" s="234"/>
      <c r="C826" s="236"/>
      <c r="D826" s="234"/>
      <c r="E826" s="234"/>
      <c r="F826" s="234"/>
      <c r="G826" s="234"/>
      <c r="H826" s="234"/>
      <c r="I826" s="234"/>
      <c r="J826" s="234"/>
      <c r="K826" s="234"/>
      <c r="M826" s="234"/>
      <c r="N826" s="234"/>
      <c r="O826" s="238"/>
      <c r="P826" s="234"/>
      <c r="Q826" s="234"/>
      <c r="R826" s="234"/>
      <c r="S826" s="234"/>
    </row>
    <row r="827">
      <c r="A827" s="234"/>
      <c r="B827" s="234"/>
      <c r="C827" s="236"/>
      <c r="D827" s="234"/>
      <c r="E827" s="234"/>
      <c r="F827" s="234"/>
      <c r="G827" s="234"/>
      <c r="H827" s="234"/>
      <c r="I827" s="234"/>
      <c r="J827" s="234"/>
      <c r="K827" s="234"/>
      <c r="M827" s="234"/>
      <c r="N827" s="234"/>
      <c r="O827" s="238"/>
      <c r="P827" s="234"/>
      <c r="Q827" s="234"/>
      <c r="R827" s="234"/>
      <c r="S827" s="234"/>
    </row>
    <row r="828">
      <c r="A828" s="234"/>
      <c r="B828" s="234"/>
      <c r="C828" s="236"/>
      <c r="D828" s="234"/>
      <c r="E828" s="234"/>
      <c r="F828" s="234"/>
      <c r="G828" s="234"/>
      <c r="H828" s="234"/>
      <c r="I828" s="234"/>
      <c r="J828" s="234"/>
      <c r="K828" s="234"/>
      <c r="M828" s="234"/>
      <c r="N828" s="234"/>
      <c r="O828" s="238"/>
      <c r="P828" s="234"/>
      <c r="Q828" s="234"/>
      <c r="R828" s="234"/>
      <c r="S828" s="234"/>
    </row>
    <row r="829">
      <c r="A829" s="234"/>
      <c r="B829" s="234"/>
      <c r="C829" s="236"/>
      <c r="D829" s="234"/>
      <c r="E829" s="234"/>
      <c r="F829" s="234"/>
      <c r="G829" s="234"/>
      <c r="H829" s="234"/>
      <c r="I829" s="234"/>
      <c r="J829" s="234"/>
      <c r="K829" s="234"/>
      <c r="M829" s="234"/>
      <c r="N829" s="234"/>
      <c r="O829" s="238"/>
      <c r="P829" s="234"/>
      <c r="Q829" s="234"/>
      <c r="R829" s="234"/>
      <c r="S829" s="234"/>
    </row>
    <row r="830">
      <c r="A830" s="234"/>
      <c r="B830" s="234"/>
      <c r="C830" s="236"/>
      <c r="D830" s="234"/>
      <c r="E830" s="234"/>
      <c r="F830" s="234"/>
      <c r="G830" s="234"/>
      <c r="H830" s="234"/>
      <c r="I830" s="234"/>
      <c r="J830" s="234"/>
      <c r="K830" s="234"/>
      <c r="M830" s="234"/>
      <c r="N830" s="234"/>
      <c r="O830" s="238"/>
      <c r="P830" s="234"/>
      <c r="Q830" s="234"/>
      <c r="R830" s="234"/>
      <c r="S830" s="234"/>
    </row>
    <row r="831">
      <c r="A831" s="234"/>
      <c r="B831" s="234"/>
      <c r="C831" s="236"/>
      <c r="D831" s="234"/>
      <c r="E831" s="234"/>
      <c r="F831" s="234"/>
      <c r="G831" s="234"/>
      <c r="H831" s="234"/>
      <c r="I831" s="234"/>
      <c r="J831" s="234"/>
      <c r="K831" s="234"/>
      <c r="M831" s="234"/>
      <c r="N831" s="234"/>
      <c r="O831" s="238"/>
      <c r="P831" s="234"/>
      <c r="Q831" s="234"/>
      <c r="R831" s="234"/>
      <c r="S831" s="234"/>
    </row>
    <row r="832">
      <c r="A832" s="234"/>
      <c r="B832" s="234"/>
      <c r="C832" s="236"/>
      <c r="D832" s="234"/>
      <c r="E832" s="234"/>
      <c r="F832" s="234"/>
      <c r="G832" s="234"/>
      <c r="H832" s="234"/>
      <c r="I832" s="234"/>
      <c r="J832" s="234"/>
      <c r="K832" s="234"/>
      <c r="M832" s="234"/>
      <c r="N832" s="234"/>
      <c r="O832" s="238"/>
      <c r="P832" s="234"/>
      <c r="Q832" s="234"/>
      <c r="R832" s="234"/>
      <c r="S832" s="234"/>
    </row>
    <row r="833">
      <c r="A833" s="234"/>
      <c r="B833" s="234"/>
      <c r="C833" s="236"/>
      <c r="D833" s="234"/>
      <c r="E833" s="234"/>
      <c r="F833" s="234"/>
      <c r="G833" s="234"/>
      <c r="H833" s="234"/>
      <c r="I833" s="234"/>
      <c r="J833" s="234"/>
      <c r="K833" s="234"/>
      <c r="M833" s="234"/>
      <c r="N833" s="234"/>
      <c r="O833" s="238"/>
      <c r="P833" s="234"/>
      <c r="Q833" s="234"/>
      <c r="R833" s="234"/>
      <c r="S833" s="234"/>
    </row>
    <row r="834">
      <c r="A834" s="234"/>
      <c r="B834" s="234"/>
      <c r="C834" s="236"/>
      <c r="D834" s="234"/>
      <c r="E834" s="234"/>
      <c r="F834" s="234"/>
      <c r="G834" s="234"/>
      <c r="H834" s="234"/>
      <c r="I834" s="234"/>
      <c r="J834" s="234"/>
      <c r="K834" s="234"/>
      <c r="M834" s="234"/>
      <c r="N834" s="234"/>
      <c r="O834" s="238"/>
      <c r="P834" s="234"/>
      <c r="Q834" s="234"/>
      <c r="R834" s="234"/>
      <c r="S834" s="234"/>
    </row>
    <row r="835">
      <c r="A835" s="234"/>
      <c r="B835" s="234"/>
      <c r="C835" s="236"/>
      <c r="D835" s="234"/>
      <c r="E835" s="234"/>
      <c r="F835" s="234"/>
      <c r="G835" s="234"/>
      <c r="H835" s="234"/>
      <c r="I835" s="234"/>
      <c r="J835" s="234"/>
      <c r="K835" s="234"/>
      <c r="M835" s="234"/>
      <c r="N835" s="234"/>
      <c r="O835" s="238"/>
      <c r="P835" s="234"/>
      <c r="Q835" s="234"/>
      <c r="R835" s="234"/>
      <c r="S835" s="234"/>
    </row>
    <row r="836">
      <c r="A836" s="234"/>
      <c r="B836" s="234"/>
      <c r="C836" s="236"/>
      <c r="D836" s="234"/>
      <c r="E836" s="234"/>
      <c r="F836" s="234"/>
      <c r="G836" s="234"/>
      <c r="H836" s="234"/>
      <c r="I836" s="234"/>
      <c r="J836" s="234"/>
      <c r="K836" s="234"/>
      <c r="M836" s="234"/>
      <c r="N836" s="234"/>
      <c r="O836" s="238"/>
      <c r="P836" s="234"/>
      <c r="Q836" s="234"/>
      <c r="R836" s="234"/>
      <c r="S836" s="234"/>
    </row>
    <row r="837">
      <c r="A837" s="234"/>
      <c r="B837" s="234"/>
      <c r="C837" s="236"/>
      <c r="D837" s="234"/>
      <c r="E837" s="234"/>
      <c r="F837" s="234"/>
      <c r="G837" s="234"/>
      <c r="H837" s="234"/>
      <c r="I837" s="234"/>
      <c r="J837" s="234"/>
      <c r="K837" s="234"/>
      <c r="M837" s="234"/>
      <c r="N837" s="234"/>
      <c r="O837" s="238"/>
      <c r="P837" s="234"/>
      <c r="Q837" s="234"/>
      <c r="R837" s="234"/>
      <c r="S837" s="234"/>
    </row>
    <row r="838">
      <c r="A838" s="234"/>
      <c r="B838" s="234"/>
      <c r="C838" s="236"/>
      <c r="D838" s="234"/>
      <c r="E838" s="234"/>
      <c r="F838" s="234"/>
      <c r="G838" s="234"/>
      <c r="H838" s="234"/>
      <c r="I838" s="234"/>
      <c r="J838" s="234"/>
      <c r="K838" s="234"/>
      <c r="M838" s="234"/>
      <c r="N838" s="234"/>
      <c r="O838" s="238"/>
      <c r="P838" s="234"/>
      <c r="Q838" s="234"/>
      <c r="R838" s="234"/>
      <c r="S838" s="234"/>
    </row>
    <row r="839">
      <c r="A839" s="234"/>
      <c r="B839" s="234"/>
      <c r="C839" s="236"/>
      <c r="D839" s="234"/>
      <c r="E839" s="234"/>
      <c r="F839" s="234"/>
      <c r="G839" s="234"/>
      <c r="H839" s="234"/>
      <c r="I839" s="234"/>
      <c r="J839" s="234"/>
      <c r="K839" s="234"/>
      <c r="M839" s="234"/>
      <c r="N839" s="234"/>
      <c r="O839" s="238"/>
      <c r="P839" s="234"/>
      <c r="Q839" s="234"/>
      <c r="R839" s="234"/>
      <c r="S839" s="234"/>
    </row>
    <row r="840">
      <c r="A840" s="234"/>
      <c r="B840" s="234"/>
      <c r="C840" s="236"/>
      <c r="D840" s="234"/>
      <c r="E840" s="234"/>
      <c r="F840" s="234"/>
      <c r="G840" s="234"/>
      <c r="H840" s="234"/>
      <c r="I840" s="234"/>
      <c r="J840" s="234"/>
      <c r="K840" s="234"/>
      <c r="M840" s="234"/>
      <c r="N840" s="234"/>
      <c r="O840" s="238"/>
      <c r="P840" s="234"/>
      <c r="Q840" s="234"/>
      <c r="R840" s="234"/>
      <c r="S840" s="234"/>
    </row>
    <row r="841">
      <c r="A841" s="234"/>
      <c r="B841" s="234"/>
      <c r="C841" s="236"/>
      <c r="D841" s="234"/>
      <c r="E841" s="234"/>
      <c r="F841" s="234"/>
      <c r="G841" s="234"/>
      <c r="H841" s="234"/>
      <c r="I841" s="234"/>
      <c r="J841" s="234"/>
      <c r="K841" s="234"/>
      <c r="M841" s="234"/>
      <c r="N841" s="234"/>
      <c r="O841" s="238"/>
      <c r="P841" s="234"/>
      <c r="Q841" s="234"/>
      <c r="R841" s="234"/>
      <c r="S841" s="234"/>
    </row>
    <row r="842">
      <c r="A842" s="234"/>
      <c r="B842" s="234"/>
      <c r="C842" s="236"/>
      <c r="D842" s="234"/>
      <c r="E842" s="234"/>
      <c r="F842" s="234"/>
      <c r="G842" s="234"/>
      <c r="H842" s="234"/>
      <c r="I842" s="234"/>
      <c r="J842" s="234"/>
      <c r="K842" s="234"/>
      <c r="M842" s="234"/>
      <c r="N842" s="234"/>
      <c r="O842" s="238"/>
      <c r="P842" s="234"/>
      <c r="Q842" s="234"/>
      <c r="R842" s="234"/>
      <c r="S842" s="234"/>
    </row>
    <row r="843">
      <c r="A843" s="234"/>
      <c r="B843" s="234"/>
      <c r="C843" s="236"/>
      <c r="D843" s="234"/>
      <c r="E843" s="234"/>
      <c r="F843" s="234"/>
      <c r="G843" s="234"/>
      <c r="H843" s="234"/>
      <c r="I843" s="234"/>
      <c r="J843" s="234"/>
      <c r="K843" s="234"/>
      <c r="M843" s="234"/>
      <c r="N843" s="234"/>
      <c r="O843" s="238"/>
      <c r="P843" s="234"/>
      <c r="Q843" s="234"/>
      <c r="R843" s="234"/>
      <c r="S843" s="234"/>
    </row>
    <row r="844">
      <c r="A844" s="234"/>
      <c r="B844" s="234"/>
      <c r="C844" s="236"/>
      <c r="D844" s="234"/>
      <c r="E844" s="234"/>
      <c r="F844" s="234"/>
      <c r="G844" s="234"/>
      <c r="H844" s="234"/>
      <c r="I844" s="234"/>
      <c r="J844" s="234"/>
      <c r="K844" s="234"/>
      <c r="M844" s="234"/>
      <c r="N844" s="234"/>
      <c r="O844" s="238"/>
      <c r="P844" s="234"/>
      <c r="Q844" s="234"/>
      <c r="R844" s="234"/>
      <c r="S844" s="234"/>
    </row>
    <row r="845">
      <c r="A845" s="234"/>
      <c r="B845" s="234"/>
      <c r="C845" s="236"/>
      <c r="D845" s="234"/>
      <c r="E845" s="234"/>
      <c r="F845" s="234"/>
      <c r="G845" s="234"/>
      <c r="H845" s="234"/>
      <c r="I845" s="234"/>
      <c r="J845" s="234"/>
      <c r="K845" s="234"/>
      <c r="M845" s="234"/>
      <c r="N845" s="234"/>
      <c r="O845" s="238"/>
      <c r="P845" s="234"/>
      <c r="Q845" s="234"/>
      <c r="R845" s="234"/>
      <c r="S845" s="234"/>
    </row>
    <row r="846">
      <c r="A846" s="234"/>
      <c r="B846" s="234"/>
      <c r="C846" s="236"/>
      <c r="D846" s="234"/>
      <c r="E846" s="234"/>
      <c r="F846" s="234"/>
      <c r="G846" s="234"/>
      <c r="H846" s="234"/>
      <c r="I846" s="234"/>
      <c r="J846" s="234"/>
      <c r="K846" s="234"/>
      <c r="M846" s="234"/>
      <c r="N846" s="234"/>
      <c r="O846" s="238"/>
      <c r="P846" s="234"/>
      <c r="Q846" s="234"/>
      <c r="R846" s="234"/>
      <c r="S846" s="234"/>
    </row>
    <row r="847">
      <c r="A847" s="234"/>
      <c r="B847" s="234"/>
      <c r="C847" s="236"/>
      <c r="D847" s="234"/>
      <c r="E847" s="234"/>
      <c r="F847" s="234"/>
      <c r="G847" s="234"/>
      <c r="H847" s="234"/>
      <c r="I847" s="234"/>
      <c r="J847" s="234"/>
      <c r="K847" s="234"/>
      <c r="M847" s="234"/>
      <c r="N847" s="234"/>
      <c r="O847" s="238"/>
      <c r="P847" s="234"/>
      <c r="Q847" s="234"/>
      <c r="R847" s="234"/>
      <c r="S847" s="234"/>
    </row>
    <row r="848">
      <c r="A848" s="234"/>
      <c r="B848" s="234"/>
      <c r="C848" s="236"/>
      <c r="D848" s="234"/>
      <c r="E848" s="234"/>
      <c r="F848" s="234"/>
      <c r="G848" s="234"/>
      <c r="H848" s="234"/>
      <c r="I848" s="234"/>
      <c r="J848" s="234"/>
      <c r="K848" s="234"/>
      <c r="M848" s="234"/>
      <c r="N848" s="234"/>
      <c r="O848" s="238"/>
      <c r="P848" s="234"/>
      <c r="Q848" s="234"/>
      <c r="R848" s="234"/>
      <c r="S848" s="234"/>
    </row>
    <row r="849">
      <c r="A849" s="234"/>
      <c r="B849" s="234"/>
      <c r="C849" s="236"/>
      <c r="D849" s="234"/>
      <c r="E849" s="234"/>
      <c r="F849" s="234"/>
      <c r="G849" s="234"/>
      <c r="H849" s="234"/>
      <c r="I849" s="234"/>
      <c r="J849" s="234"/>
      <c r="K849" s="234"/>
      <c r="M849" s="234"/>
      <c r="N849" s="234"/>
      <c r="O849" s="238"/>
      <c r="P849" s="234"/>
      <c r="Q849" s="234"/>
      <c r="R849" s="234"/>
      <c r="S849" s="234"/>
    </row>
    <row r="850">
      <c r="A850" s="234"/>
      <c r="B850" s="234"/>
      <c r="C850" s="236"/>
      <c r="D850" s="234"/>
      <c r="E850" s="234"/>
      <c r="F850" s="234"/>
      <c r="G850" s="234"/>
      <c r="H850" s="234"/>
      <c r="I850" s="234"/>
      <c r="J850" s="234"/>
      <c r="K850" s="234"/>
      <c r="M850" s="234"/>
      <c r="N850" s="234"/>
      <c r="O850" s="238"/>
      <c r="P850" s="234"/>
      <c r="Q850" s="234"/>
      <c r="R850" s="234"/>
      <c r="S850" s="234"/>
    </row>
    <row r="851">
      <c r="A851" s="234"/>
      <c r="B851" s="234"/>
      <c r="C851" s="236"/>
      <c r="D851" s="234"/>
      <c r="E851" s="234"/>
      <c r="F851" s="234"/>
      <c r="G851" s="234"/>
      <c r="H851" s="234"/>
      <c r="I851" s="234"/>
      <c r="J851" s="234"/>
      <c r="K851" s="234"/>
      <c r="M851" s="234"/>
      <c r="N851" s="234"/>
      <c r="O851" s="238"/>
      <c r="P851" s="234"/>
      <c r="Q851" s="234"/>
      <c r="R851" s="234"/>
      <c r="S851" s="234"/>
    </row>
    <row r="852">
      <c r="A852" s="234"/>
      <c r="B852" s="234"/>
      <c r="C852" s="236"/>
      <c r="D852" s="234"/>
      <c r="E852" s="234"/>
      <c r="F852" s="234"/>
      <c r="G852" s="234"/>
      <c r="H852" s="234"/>
      <c r="I852" s="234"/>
      <c r="J852" s="234"/>
      <c r="K852" s="234"/>
      <c r="M852" s="234"/>
      <c r="N852" s="234"/>
      <c r="O852" s="238"/>
      <c r="P852" s="234"/>
      <c r="Q852" s="234"/>
      <c r="R852" s="234"/>
      <c r="S852" s="234"/>
    </row>
    <row r="853">
      <c r="A853" s="234"/>
      <c r="B853" s="234"/>
      <c r="C853" s="236"/>
      <c r="D853" s="234"/>
      <c r="E853" s="234"/>
      <c r="F853" s="234"/>
      <c r="G853" s="234"/>
      <c r="H853" s="234"/>
      <c r="I853" s="234"/>
      <c r="J853" s="234"/>
      <c r="K853" s="234"/>
      <c r="M853" s="234"/>
      <c r="N853" s="234"/>
      <c r="O853" s="238"/>
      <c r="P853" s="234"/>
      <c r="Q853" s="234"/>
      <c r="R853" s="234"/>
      <c r="S853" s="234"/>
    </row>
    <row r="854">
      <c r="A854" s="234"/>
      <c r="B854" s="234"/>
      <c r="C854" s="236"/>
      <c r="D854" s="234"/>
      <c r="E854" s="234"/>
      <c r="F854" s="234"/>
      <c r="G854" s="234"/>
      <c r="H854" s="234"/>
      <c r="I854" s="234"/>
      <c r="J854" s="234"/>
      <c r="K854" s="234"/>
      <c r="M854" s="234"/>
      <c r="N854" s="234"/>
      <c r="O854" s="238"/>
      <c r="P854" s="234"/>
      <c r="Q854" s="234"/>
      <c r="R854" s="234"/>
      <c r="S854" s="234"/>
    </row>
    <row r="855">
      <c r="A855" s="234"/>
      <c r="B855" s="234"/>
      <c r="C855" s="236"/>
      <c r="D855" s="234"/>
      <c r="E855" s="234"/>
      <c r="F855" s="234"/>
      <c r="G855" s="234"/>
      <c r="H855" s="234"/>
      <c r="I855" s="234"/>
      <c r="J855" s="234"/>
      <c r="K855" s="234"/>
      <c r="M855" s="234"/>
      <c r="N855" s="234"/>
      <c r="O855" s="238"/>
      <c r="P855" s="234"/>
      <c r="Q855" s="234"/>
      <c r="R855" s="234"/>
      <c r="S855" s="234"/>
    </row>
    <row r="856">
      <c r="A856" s="234"/>
      <c r="B856" s="234"/>
      <c r="C856" s="236"/>
      <c r="D856" s="234"/>
      <c r="E856" s="234"/>
      <c r="F856" s="234"/>
      <c r="G856" s="234"/>
      <c r="H856" s="234"/>
      <c r="I856" s="234"/>
      <c r="J856" s="234"/>
      <c r="K856" s="234"/>
      <c r="M856" s="234"/>
      <c r="N856" s="234"/>
      <c r="O856" s="238"/>
      <c r="P856" s="234"/>
      <c r="Q856" s="234"/>
      <c r="R856" s="234"/>
      <c r="S856" s="234"/>
    </row>
    <row r="857">
      <c r="A857" s="234"/>
      <c r="B857" s="234"/>
      <c r="C857" s="236"/>
      <c r="D857" s="234"/>
      <c r="E857" s="234"/>
      <c r="F857" s="234"/>
      <c r="G857" s="234"/>
      <c r="H857" s="234"/>
      <c r="I857" s="234"/>
      <c r="J857" s="234"/>
      <c r="K857" s="234"/>
      <c r="M857" s="234"/>
      <c r="N857" s="234"/>
      <c r="O857" s="238"/>
      <c r="P857" s="234"/>
      <c r="Q857" s="234"/>
      <c r="R857" s="234"/>
      <c r="S857" s="234"/>
    </row>
    <row r="858">
      <c r="A858" s="234"/>
      <c r="B858" s="234"/>
      <c r="C858" s="236"/>
      <c r="D858" s="234"/>
      <c r="E858" s="234"/>
      <c r="F858" s="234"/>
      <c r="G858" s="234"/>
      <c r="H858" s="234"/>
      <c r="I858" s="234"/>
      <c r="J858" s="234"/>
      <c r="K858" s="234"/>
      <c r="M858" s="234"/>
      <c r="N858" s="234"/>
      <c r="O858" s="238"/>
      <c r="P858" s="234"/>
      <c r="Q858" s="234"/>
      <c r="R858" s="234"/>
      <c r="S858" s="234"/>
    </row>
    <row r="859">
      <c r="A859" s="234"/>
      <c r="B859" s="234"/>
      <c r="C859" s="236"/>
      <c r="D859" s="234"/>
      <c r="E859" s="234"/>
      <c r="F859" s="234"/>
      <c r="G859" s="234"/>
      <c r="H859" s="234"/>
      <c r="I859" s="234"/>
      <c r="J859" s="234"/>
      <c r="K859" s="234"/>
      <c r="M859" s="234"/>
      <c r="N859" s="234"/>
      <c r="O859" s="238"/>
      <c r="P859" s="234"/>
      <c r="Q859" s="234"/>
      <c r="R859" s="234"/>
      <c r="S859" s="234"/>
    </row>
    <row r="860">
      <c r="A860" s="234"/>
      <c r="B860" s="234"/>
      <c r="C860" s="236"/>
      <c r="D860" s="234"/>
      <c r="E860" s="234"/>
      <c r="F860" s="234"/>
      <c r="G860" s="234"/>
      <c r="H860" s="234"/>
      <c r="I860" s="234"/>
      <c r="J860" s="234"/>
      <c r="K860" s="234"/>
      <c r="M860" s="234"/>
      <c r="N860" s="234"/>
      <c r="O860" s="238"/>
      <c r="P860" s="234"/>
      <c r="Q860" s="234"/>
      <c r="R860" s="234"/>
      <c r="S860" s="234"/>
    </row>
    <row r="861">
      <c r="A861" s="234"/>
      <c r="B861" s="234"/>
      <c r="C861" s="236"/>
      <c r="D861" s="234"/>
      <c r="E861" s="234"/>
      <c r="F861" s="234"/>
      <c r="G861" s="234"/>
      <c r="H861" s="234"/>
      <c r="I861" s="234"/>
      <c r="J861" s="234"/>
      <c r="K861" s="234"/>
      <c r="M861" s="234"/>
      <c r="N861" s="234"/>
      <c r="O861" s="238"/>
      <c r="P861" s="234"/>
      <c r="Q861" s="234"/>
      <c r="R861" s="234"/>
      <c r="S861" s="234"/>
    </row>
    <row r="862">
      <c r="A862" s="234"/>
      <c r="B862" s="234"/>
      <c r="C862" s="236"/>
      <c r="D862" s="234"/>
      <c r="E862" s="234"/>
      <c r="F862" s="234"/>
      <c r="G862" s="234"/>
      <c r="H862" s="234"/>
      <c r="I862" s="234"/>
      <c r="J862" s="234"/>
      <c r="K862" s="234"/>
      <c r="M862" s="234"/>
      <c r="N862" s="234"/>
      <c r="O862" s="238"/>
      <c r="P862" s="234"/>
      <c r="Q862" s="234"/>
      <c r="R862" s="234"/>
      <c r="S862" s="234"/>
    </row>
    <row r="863">
      <c r="A863" s="234"/>
      <c r="B863" s="234"/>
      <c r="C863" s="236"/>
      <c r="D863" s="234"/>
      <c r="E863" s="234"/>
      <c r="F863" s="234"/>
      <c r="G863" s="234"/>
      <c r="H863" s="234"/>
      <c r="I863" s="234"/>
      <c r="J863" s="234"/>
      <c r="K863" s="234"/>
      <c r="M863" s="234"/>
      <c r="N863" s="234"/>
      <c r="O863" s="238"/>
      <c r="P863" s="234"/>
      <c r="Q863" s="234"/>
      <c r="R863" s="234"/>
      <c r="S863" s="234"/>
    </row>
    <row r="864">
      <c r="A864" s="234"/>
      <c r="B864" s="234"/>
      <c r="C864" s="236"/>
      <c r="D864" s="234"/>
      <c r="E864" s="234"/>
      <c r="F864" s="234"/>
      <c r="G864" s="234"/>
      <c r="H864" s="234"/>
      <c r="I864" s="234"/>
      <c r="J864" s="234"/>
      <c r="K864" s="234"/>
      <c r="M864" s="234"/>
      <c r="N864" s="234"/>
      <c r="O864" s="238"/>
      <c r="P864" s="234"/>
      <c r="Q864" s="234"/>
      <c r="R864" s="234"/>
      <c r="S864" s="234"/>
    </row>
    <row r="865">
      <c r="A865" s="234"/>
      <c r="B865" s="234"/>
      <c r="C865" s="236"/>
      <c r="D865" s="234"/>
      <c r="E865" s="234"/>
      <c r="F865" s="234"/>
      <c r="G865" s="234"/>
      <c r="H865" s="234"/>
      <c r="I865" s="234"/>
      <c r="J865" s="234"/>
      <c r="K865" s="234"/>
      <c r="M865" s="234"/>
      <c r="N865" s="234"/>
      <c r="O865" s="238"/>
      <c r="P865" s="234"/>
      <c r="Q865" s="234"/>
      <c r="R865" s="234"/>
      <c r="S865" s="234"/>
    </row>
    <row r="866">
      <c r="A866" s="234"/>
      <c r="B866" s="234"/>
      <c r="C866" s="236"/>
      <c r="D866" s="234"/>
      <c r="E866" s="234"/>
      <c r="F866" s="234"/>
      <c r="G866" s="234"/>
      <c r="H866" s="234"/>
      <c r="I866" s="234"/>
      <c r="J866" s="234"/>
      <c r="K866" s="234"/>
      <c r="M866" s="234"/>
      <c r="N866" s="234"/>
      <c r="O866" s="238"/>
      <c r="P866" s="234"/>
      <c r="Q866" s="234"/>
      <c r="R866" s="234"/>
      <c r="S866" s="234"/>
    </row>
    <row r="867">
      <c r="A867" s="234"/>
      <c r="B867" s="234"/>
      <c r="C867" s="236"/>
      <c r="D867" s="234"/>
      <c r="E867" s="234"/>
      <c r="F867" s="234"/>
      <c r="G867" s="234"/>
      <c r="H867" s="234"/>
      <c r="I867" s="234"/>
      <c r="J867" s="234"/>
      <c r="K867" s="234"/>
      <c r="M867" s="234"/>
      <c r="N867" s="234"/>
      <c r="O867" s="238"/>
      <c r="P867" s="234"/>
      <c r="Q867" s="234"/>
      <c r="R867" s="234"/>
      <c r="S867" s="234"/>
    </row>
    <row r="868">
      <c r="A868" s="234"/>
      <c r="B868" s="234"/>
      <c r="C868" s="236"/>
      <c r="D868" s="234"/>
      <c r="E868" s="234"/>
      <c r="F868" s="234"/>
      <c r="G868" s="234"/>
      <c r="H868" s="234"/>
      <c r="I868" s="234"/>
      <c r="J868" s="234"/>
      <c r="K868" s="234"/>
      <c r="M868" s="234"/>
      <c r="N868" s="234"/>
      <c r="O868" s="238"/>
      <c r="P868" s="234"/>
      <c r="Q868" s="234"/>
      <c r="R868" s="234"/>
      <c r="S868" s="234"/>
    </row>
    <row r="869">
      <c r="A869" s="234"/>
      <c r="B869" s="234"/>
      <c r="C869" s="236"/>
      <c r="D869" s="234"/>
      <c r="E869" s="234"/>
      <c r="F869" s="234"/>
      <c r="G869" s="234"/>
      <c r="H869" s="234"/>
      <c r="I869" s="234"/>
      <c r="J869" s="234"/>
      <c r="K869" s="234"/>
      <c r="M869" s="234"/>
      <c r="N869" s="234"/>
      <c r="O869" s="238"/>
      <c r="P869" s="234"/>
      <c r="Q869" s="234"/>
      <c r="R869" s="234"/>
      <c r="S869" s="234"/>
    </row>
    <row r="870">
      <c r="A870" s="234"/>
      <c r="B870" s="234"/>
      <c r="C870" s="236"/>
      <c r="D870" s="234"/>
      <c r="E870" s="234"/>
      <c r="F870" s="234"/>
      <c r="G870" s="234"/>
      <c r="H870" s="234"/>
      <c r="I870" s="234"/>
      <c r="J870" s="234"/>
      <c r="K870" s="234"/>
      <c r="M870" s="234"/>
      <c r="N870" s="234"/>
      <c r="O870" s="238"/>
      <c r="P870" s="234"/>
      <c r="Q870" s="234"/>
      <c r="R870" s="234"/>
      <c r="S870" s="234"/>
    </row>
    <row r="871">
      <c r="A871" s="234"/>
      <c r="B871" s="234"/>
      <c r="C871" s="236"/>
      <c r="D871" s="234"/>
      <c r="E871" s="234"/>
      <c r="F871" s="234"/>
      <c r="G871" s="234"/>
      <c r="H871" s="234"/>
      <c r="I871" s="234"/>
      <c r="J871" s="234"/>
      <c r="K871" s="234"/>
      <c r="M871" s="234"/>
      <c r="N871" s="234"/>
      <c r="O871" s="238"/>
      <c r="P871" s="234"/>
      <c r="Q871" s="234"/>
      <c r="R871" s="234"/>
      <c r="S871" s="234"/>
    </row>
    <row r="872">
      <c r="A872" s="234"/>
      <c r="B872" s="234"/>
      <c r="C872" s="236"/>
      <c r="D872" s="234"/>
      <c r="E872" s="234"/>
      <c r="F872" s="234"/>
      <c r="G872" s="234"/>
      <c r="H872" s="234"/>
      <c r="I872" s="234"/>
      <c r="J872" s="234"/>
      <c r="K872" s="234"/>
      <c r="M872" s="234"/>
      <c r="N872" s="234"/>
      <c r="O872" s="238"/>
      <c r="P872" s="234"/>
      <c r="Q872" s="234"/>
      <c r="R872" s="234"/>
      <c r="S872" s="234"/>
    </row>
    <row r="873">
      <c r="A873" s="234"/>
      <c r="B873" s="234"/>
      <c r="C873" s="236"/>
      <c r="D873" s="234"/>
      <c r="E873" s="234"/>
      <c r="F873" s="234"/>
      <c r="G873" s="234"/>
      <c r="H873" s="234"/>
      <c r="I873" s="234"/>
      <c r="J873" s="234"/>
      <c r="K873" s="234"/>
      <c r="M873" s="234"/>
      <c r="N873" s="234"/>
      <c r="O873" s="238"/>
      <c r="P873" s="234"/>
      <c r="Q873" s="234"/>
      <c r="R873" s="234"/>
      <c r="S873" s="234"/>
    </row>
    <row r="874">
      <c r="A874" s="234"/>
      <c r="B874" s="234"/>
      <c r="C874" s="236"/>
      <c r="D874" s="234"/>
      <c r="E874" s="234"/>
      <c r="F874" s="234"/>
      <c r="G874" s="234"/>
      <c r="H874" s="234"/>
      <c r="I874" s="234"/>
      <c r="J874" s="234"/>
      <c r="K874" s="234"/>
      <c r="M874" s="234"/>
      <c r="N874" s="234"/>
      <c r="O874" s="238"/>
      <c r="P874" s="234"/>
      <c r="Q874" s="234"/>
      <c r="R874" s="234"/>
      <c r="S874" s="234"/>
    </row>
    <row r="875">
      <c r="A875" s="234"/>
      <c r="B875" s="234"/>
      <c r="C875" s="236"/>
      <c r="D875" s="234"/>
      <c r="E875" s="234"/>
      <c r="F875" s="234"/>
      <c r="G875" s="234"/>
      <c r="H875" s="234"/>
      <c r="I875" s="234"/>
      <c r="J875" s="234"/>
      <c r="K875" s="234"/>
      <c r="M875" s="234"/>
      <c r="N875" s="234"/>
      <c r="O875" s="238"/>
      <c r="P875" s="234"/>
      <c r="Q875" s="234"/>
      <c r="R875" s="234"/>
      <c r="S875" s="234"/>
    </row>
    <row r="876">
      <c r="A876" s="234"/>
      <c r="B876" s="234"/>
      <c r="C876" s="236"/>
      <c r="D876" s="234"/>
      <c r="E876" s="234"/>
      <c r="F876" s="234"/>
      <c r="G876" s="234"/>
      <c r="H876" s="234"/>
      <c r="I876" s="234"/>
      <c r="J876" s="234"/>
      <c r="K876" s="234"/>
      <c r="M876" s="234"/>
      <c r="N876" s="234"/>
      <c r="O876" s="238"/>
      <c r="P876" s="234"/>
      <c r="Q876" s="234"/>
      <c r="R876" s="234"/>
      <c r="S876" s="234"/>
    </row>
    <row r="877">
      <c r="A877" s="234"/>
      <c r="B877" s="234"/>
      <c r="C877" s="236"/>
      <c r="D877" s="234"/>
      <c r="E877" s="234"/>
      <c r="F877" s="234"/>
      <c r="G877" s="234"/>
      <c r="H877" s="234"/>
      <c r="I877" s="234"/>
      <c r="J877" s="234"/>
      <c r="K877" s="234"/>
      <c r="M877" s="234"/>
      <c r="N877" s="234"/>
      <c r="O877" s="238"/>
      <c r="P877" s="234"/>
      <c r="Q877" s="234"/>
      <c r="R877" s="234"/>
      <c r="S877" s="234"/>
    </row>
    <row r="878">
      <c r="A878" s="234"/>
      <c r="B878" s="234"/>
      <c r="C878" s="236"/>
      <c r="D878" s="234"/>
      <c r="E878" s="234"/>
      <c r="F878" s="234"/>
      <c r="G878" s="234"/>
      <c r="H878" s="234"/>
      <c r="I878" s="234"/>
      <c r="J878" s="234"/>
      <c r="K878" s="234"/>
      <c r="M878" s="234"/>
      <c r="N878" s="234"/>
      <c r="O878" s="238"/>
      <c r="P878" s="234"/>
      <c r="Q878" s="234"/>
      <c r="R878" s="234"/>
      <c r="S878" s="234"/>
    </row>
    <row r="879">
      <c r="A879" s="234"/>
      <c r="B879" s="234"/>
      <c r="C879" s="236"/>
      <c r="D879" s="234"/>
      <c r="E879" s="234"/>
      <c r="F879" s="234"/>
      <c r="G879" s="234"/>
      <c r="H879" s="234"/>
      <c r="I879" s="234"/>
      <c r="J879" s="234"/>
      <c r="K879" s="234"/>
      <c r="M879" s="234"/>
      <c r="N879" s="234"/>
      <c r="O879" s="238"/>
      <c r="P879" s="234"/>
      <c r="Q879" s="234"/>
      <c r="R879" s="234"/>
      <c r="S879" s="234"/>
    </row>
    <row r="880">
      <c r="A880" s="234"/>
      <c r="B880" s="234"/>
      <c r="C880" s="236"/>
      <c r="D880" s="234"/>
      <c r="E880" s="234"/>
      <c r="F880" s="234"/>
      <c r="G880" s="234"/>
      <c r="H880" s="234"/>
      <c r="I880" s="234"/>
      <c r="J880" s="234"/>
      <c r="K880" s="234"/>
      <c r="M880" s="234"/>
      <c r="N880" s="234"/>
      <c r="O880" s="238"/>
      <c r="P880" s="234"/>
      <c r="Q880" s="234"/>
      <c r="R880" s="234"/>
      <c r="S880" s="234"/>
    </row>
    <row r="881">
      <c r="A881" s="234"/>
      <c r="B881" s="234"/>
      <c r="C881" s="236"/>
      <c r="D881" s="234"/>
      <c r="E881" s="234"/>
      <c r="F881" s="234"/>
      <c r="G881" s="234"/>
      <c r="H881" s="234"/>
      <c r="I881" s="234"/>
      <c r="J881" s="234"/>
      <c r="K881" s="234"/>
      <c r="M881" s="234"/>
      <c r="N881" s="234"/>
      <c r="O881" s="238"/>
      <c r="P881" s="234"/>
      <c r="Q881" s="234"/>
      <c r="R881" s="234"/>
      <c r="S881" s="234"/>
    </row>
    <row r="882">
      <c r="A882" s="234"/>
      <c r="B882" s="234"/>
      <c r="C882" s="236"/>
      <c r="D882" s="234"/>
      <c r="E882" s="234"/>
      <c r="F882" s="234"/>
      <c r="G882" s="234"/>
      <c r="H882" s="234"/>
      <c r="I882" s="234"/>
      <c r="J882" s="234"/>
      <c r="K882" s="234"/>
      <c r="M882" s="234"/>
      <c r="N882" s="234"/>
      <c r="O882" s="238"/>
      <c r="P882" s="234"/>
      <c r="Q882" s="234"/>
      <c r="R882" s="234"/>
      <c r="S882" s="234"/>
    </row>
    <row r="883">
      <c r="A883" s="234"/>
      <c r="B883" s="234"/>
      <c r="C883" s="236"/>
      <c r="D883" s="234"/>
      <c r="E883" s="234"/>
      <c r="F883" s="234"/>
      <c r="G883" s="234"/>
      <c r="H883" s="234"/>
      <c r="I883" s="234"/>
      <c r="J883" s="234"/>
      <c r="K883" s="234"/>
      <c r="M883" s="234"/>
      <c r="N883" s="234"/>
      <c r="O883" s="238"/>
      <c r="P883" s="234"/>
      <c r="Q883" s="234"/>
      <c r="R883" s="234"/>
      <c r="S883" s="234"/>
    </row>
    <row r="884">
      <c r="A884" s="234"/>
      <c r="B884" s="234"/>
      <c r="C884" s="236"/>
      <c r="D884" s="234"/>
      <c r="E884" s="234"/>
      <c r="F884" s="234"/>
      <c r="G884" s="234"/>
      <c r="H884" s="234"/>
      <c r="I884" s="234"/>
      <c r="J884" s="234"/>
      <c r="K884" s="234"/>
      <c r="M884" s="234"/>
      <c r="N884" s="234"/>
      <c r="O884" s="238"/>
      <c r="P884" s="234"/>
      <c r="Q884" s="234"/>
      <c r="R884" s="234"/>
      <c r="S884" s="234"/>
    </row>
    <row r="885">
      <c r="A885" s="234"/>
      <c r="B885" s="234"/>
      <c r="C885" s="236"/>
      <c r="D885" s="234"/>
      <c r="E885" s="234"/>
      <c r="F885" s="234"/>
      <c r="G885" s="234"/>
      <c r="H885" s="234"/>
      <c r="I885" s="234"/>
      <c r="J885" s="234"/>
      <c r="K885" s="234"/>
      <c r="M885" s="234"/>
      <c r="N885" s="234"/>
      <c r="O885" s="238"/>
      <c r="P885" s="234"/>
      <c r="Q885" s="234"/>
      <c r="R885" s="234"/>
      <c r="S885" s="234"/>
    </row>
    <row r="886">
      <c r="A886" s="234"/>
      <c r="B886" s="234"/>
      <c r="C886" s="236"/>
      <c r="D886" s="234"/>
      <c r="E886" s="234"/>
      <c r="F886" s="234"/>
      <c r="G886" s="234"/>
      <c r="H886" s="234"/>
      <c r="I886" s="234"/>
      <c r="J886" s="234"/>
      <c r="K886" s="234"/>
      <c r="M886" s="234"/>
      <c r="N886" s="234"/>
      <c r="O886" s="238"/>
      <c r="P886" s="234"/>
      <c r="Q886" s="234"/>
      <c r="R886" s="234"/>
      <c r="S886" s="234"/>
    </row>
    <row r="887">
      <c r="A887" s="234"/>
      <c r="B887" s="234"/>
      <c r="C887" s="236"/>
      <c r="D887" s="234"/>
      <c r="E887" s="234"/>
      <c r="F887" s="234"/>
      <c r="G887" s="234"/>
      <c r="H887" s="234"/>
      <c r="I887" s="234"/>
      <c r="J887" s="234"/>
      <c r="K887" s="234"/>
      <c r="M887" s="234"/>
      <c r="N887" s="234"/>
      <c r="O887" s="238"/>
      <c r="P887" s="234"/>
      <c r="Q887" s="234"/>
      <c r="R887" s="234"/>
      <c r="S887" s="234"/>
    </row>
    <row r="888">
      <c r="A888" s="234"/>
      <c r="B888" s="234"/>
      <c r="C888" s="236"/>
      <c r="D888" s="234"/>
      <c r="E888" s="234"/>
      <c r="F888" s="234"/>
      <c r="G888" s="234"/>
      <c r="H888" s="234"/>
      <c r="I888" s="234"/>
      <c r="J888" s="234"/>
      <c r="K888" s="234"/>
      <c r="M888" s="234"/>
      <c r="N888" s="234"/>
      <c r="O888" s="238"/>
      <c r="P888" s="234"/>
      <c r="Q888" s="234"/>
      <c r="R888" s="234"/>
      <c r="S888" s="234"/>
    </row>
    <row r="889">
      <c r="A889" s="234"/>
      <c r="B889" s="234"/>
      <c r="C889" s="236"/>
      <c r="D889" s="234"/>
      <c r="E889" s="234"/>
      <c r="F889" s="234"/>
      <c r="G889" s="234"/>
      <c r="H889" s="234"/>
      <c r="I889" s="234"/>
      <c r="J889" s="234"/>
      <c r="K889" s="234"/>
      <c r="M889" s="234"/>
      <c r="N889" s="234"/>
      <c r="O889" s="238"/>
      <c r="P889" s="234"/>
      <c r="Q889" s="234"/>
      <c r="R889" s="234"/>
      <c r="S889" s="234"/>
    </row>
    <row r="890">
      <c r="A890" s="234"/>
      <c r="B890" s="234"/>
      <c r="C890" s="236"/>
      <c r="D890" s="234"/>
      <c r="E890" s="234"/>
      <c r="F890" s="234"/>
      <c r="G890" s="234"/>
      <c r="H890" s="234"/>
      <c r="I890" s="234"/>
      <c r="J890" s="234"/>
      <c r="K890" s="234"/>
      <c r="M890" s="234"/>
      <c r="N890" s="234"/>
      <c r="O890" s="238"/>
      <c r="P890" s="234"/>
      <c r="Q890" s="234"/>
      <c r="R890" s="234"/>
      <c r="S890" s="234"/>
    </row>
    <row r="891">
      <c r="A891" s="234"/>
      <c r="B891" s="234"/>
      <c r="C891" s="236"/>
      <c r="D891" s="234"/>
      <c r="E891" s="234"/>
      <c r="F891" s="234"/>
      <c r="G891" s="234"/>
      <c r="H891" s="234"/>
      <c r="I891" s="234"/>
      <c r="J891" s="234"/>
      <c r="K891" s="234"/>
      <c r="M891" s="234"/>
      <c r="N891" s="234"/>
      <c r="O891" s="238"/>
      <c r="P891" s="234"/>
      <c r="Q891" s="234"/>
      <c r="R891" s="234"/>
      <c r="S891" s="234"/>
    </row>
    <row r="892">
      <c r="A892" s="234"/>
      <c r="B892" s="234"/>
      <c r="C892" s="236"/>
      <c r="D892" s="234"/>
      <c r="E892" s="234"/>
      <c r="F892" s="234"/>
      <c r="G892" s="234"/>
      <c r="H892" s="234"/>
      <c r="I892" s="234"/>
      <c r="J892" s="234"/>
      <c r="K892" s="234"/>
      <c r="M892" s="234"/>
      <c r="N892" s="234"/>
      <c r="O892" s="238"/>
      <c r="P892" s="234"/>
      <c r="Q892" s="234"/>
      <c r="R892" s="234"/>
      <c r="S892" s="234"/>
    </row>
    <row r="893">
      <c r="A893" s="234"/>
      <c r="B893" s="234"/>
      <c r="C893" s="236"/>
      <c r="D893" s="234"/>
      <c r="E893" s="234"/>
      <c r="F893" s="234"/>
      <c r="G893" s="234"/>
      <c r="H893" s="234"/>
      <c r="I893" s="234"/>
      <c r="J893" s="234"/>
      <c r="K893" s="234"/>
      <c r="M893" s="234"/>
      <c r="N893" s="234"/>
      <c r="O893" s="238"/>
      <c r="P893" s="234"/>
      <c r="Q893" s="234"/>
      <c r="R893" s="234"/>
      <c r="S893" s="234"/>
    </row>
    <row r="894">
      <c r="A894" s="234"/>
      <c r="B894" s="234"/>
      <c r="C894" s="236"/>
      <c r="D894" s="234"/>
      <c r="E894" s="234"/>
      <c r="F894" s="234"/>
      <c r="G894" s="234"/>
      <c r="H894" s="234"/>
      <c r="I894" s="234"/>
      <c r="J894" s="234"/>
      <c r="K894" s="234"/>
      <c r="M894" s="234"/>
      <c r="N894" s="234"/>
      <c r="O894" s="238"/>
      <c r="P894" s="234"/>
      <c r="Q894" s="234"/>
      <c r="R894" s="234"/>
      <c r="S894" s="234"/>
    </row>
    <row r="895">
      <c r="A895" s="234"/>
      <c r="B895" s="234"/>
      <c r="C895" s="236"/>
      <c r="D895" s="234"/>
      <c r="E895" s="234"/>
      <c r="F895" s="234"/>
      <c r="G895" s="234"/>
      <c r="H895" s="234"/>
      <c r="I895" s="234"/>
      <c r="J895" s="234"/>
      <c r="K895" s="234"/>
      <c r="M895" s="234"/>
      <c r="N895" s="234"/>
      <c r="O895" s="238"/>
      <c r="P895" s="234"/>
      <c r="Q895" s="234"/>
      <c r="R895" s="234"/>
      <c r="S895" s="234"/>
    </row>
    <row r="896">
      <c r="A896" s="234"/>
      <c r="B896" s="234"/>
      <c r="C896" s="236"/>
      <c r="D896" s="234"/>
      <c r="E896" s="234"/>
      <c r="F896" s="234"/>
      <c r="G896" s="234"/>
      <c r="H896" s="234"/>
      <c r="I896" s="234"/>
      <c r="J896" s="234"/>
      <c r="K896" s="234"/>
      <c r="M896" s="234"/>
      <c r="N896" s="234"/>
      <c r="O896" s="238"/>
      <c r="P896" s="234"/>
      <c r="Q896" s="234"/>
      <c r="R896" s="234"/>
      <c r="S896" s="234"/>
    </row>
    <row r="897">
      <c r="A897" s="234"/>
      <c r="B897" s="234"/>
      <c r="C897" s="236"/>
      <c r="D897" s="234"/>
      <c r="E897" s="234"/>
      <c r="F897" s="234"/>
      <c r="G897" s="234"/>
      <c r="H897" s="234"/>
      <c r="I897" s="234"/>
      <c r="J897" s="234"/>
      <c r="K897" s="234"/>
      <c r="M897" s="234"/>
      <c r="N897" s="234"/>
      <c r="O897" s="238"/>
      <c r="P897" s="234"/>
      <c r="Q897" s="234"/>
      <c r="R897" s="234"/>
      <c r="S897" s="234"/>
    </row>
    <row r="898">
      <c r="A898" s="234"/>
      <c r="B898" s="234"/>
      <c r="C898" s="236"/>
      <c r="D898" s="234"/>
      <c r="E898" s="234"/>
      <c r="F898" s="234"/>
      <c r="G898" s="234"/>
      <c r="H898" s="234"/>
      <c r="I898" s="234"/>
      <c r="J898" s="234"/>
      <c r="K898" s="234"/>
      <c r="M898" s="234"/>
      <c r="N898" s="234"/>
      <c r="O898" s="238"/>
      <c r="P898" s="234"/>
      <c r="Q898" s="234"/>
      <c r="R898" s="234"/>
      <c r="S898" s="234"/>
    </row>
    <row r="899">
      <c r="A899" s="234"/>
      <c r="B899" s="234"/>
      <c r="C899" s="236"/>
      <c r="D899" s="234"/>
      <c r="E899" s="234"/>
      <c r="F899" s="234"/>
      <c r="G899" s="234"/>
      <c r="H899" s="234"/>
      <c r="I899" s="234"/>
      <c r="J899" s="234"/>
      <c r="K899" s="234"/>
      <c r="M899" s="234"/>
      <c r="N899" s="234"/>
      <c r="O899" s="238"/>
      <c r="P899" s="234"/>
      <c r="Q899" s="234"/>
      <c r="R899" s="234"/>
      <c r="S899" s="234"/>
    </row>
    <row r="900">
      <c r="A900" s="234"/>
      <c r="B900" s="234"/>
      <c r="C900" s="236"/>
      <c r="D900" s="234"/>
      <c r="E900" s="234"/>
      <c r="F900" s="234"/>
      <c r="G900" s="234"/>
      <c r="H900" s="234"/>
      <c r="I900" s="234"/>
      <c r="J900" s="234"/>
      <c r="K900" s="234"/>
      <c r="M900" s="234"/>
      <c r="N900" s="234"/>
      <c r="O900" s="238"/>
      <c r="P900" s="234"/>
      <c r="Q900" s="234"/>
      <c r="R900" s="234"/>
      <c r="S900" s="234"/>
    </row>
    <row r="901">
      <c r="A901" s="234"/>
      <c r="B901" s="234"/>
      <c r="C901" s="236"/>
      <c r="D901" s="234"/>
      <c r="E901" s="234"/>
      <c r="F901" s="234"/>
      <c r="G901" s="234"/>
      <c r="H901" s="234"/>
      <c r="I901" s="234"/>
      <c r="J901" s="234"/>
      <c r="K901" s="234"/>
      <c r="M901" s="234"/>
      <c r="N901" s="234"/>
      <c r="O901" s="238"/>
      <c r="P901" s="234"/>
      <c r="Q901" s="234"/>
      <c r="R901" s="234"/>
      <c r="S901" s="234"/>
    </row>
    <row r="902">
      <c r="A902" s="234"/>
      <c r="B902" s="234"/>
      <c r="C902" s="236"/>
      <c r="D902" s="234"/>
      <c r="E902" s="234"/>
      <c r="F902" s="234"/>
      <c r="G902" s="234"/>
      <c r="H902" s="234"/>
      <c r="I902" s="234"/>
      <c r="J902" s="234"/>
      <c r="K902" s="234"/>
      <c r="M902" s="234"/>
      <c r="N902" s="234"/>
      <c r="O902" s="238"/>
      <c r="P902" s="234"/>
      <c r="Q902" s="234"/>
      <c r="R902" s="234"/>
      <c r="S902" s="234"/>
    </row>
    <row r="903">
      <c r="A903" s="234"/>
      <c r="B903" s="234"/>
      <c r="C903" s="236"/>
      <c r="D903" s="234"/>
      <c r="E903" s="234"/>
      <c r="F903" s="234"/>
      <c r="G903" s="234"/>
      <c r="H903" s="234"/>
      <c r="I903" s="234"/>
      <c r="J903" s="234"/>
      <c r="K903" s="234"/>
      <c r="M903" s="234"/>
      <c r="N903" s="234"/>
      <c r="O903" s="238"/>
      <c r="P903" s="234"/>
      <c r="Q903" s="234"/>
      <c r="R903" s="234"/>
      <c r="S903" s="234"/>
    </row>
    <row r="904">
      <c r="A904" s="234"/>
      <c r="B904" s="234"/>
      <c r="C904" s="236"/>
      <c r="D904" s="234"/>
      <c r="E904" s="234"/>
      <c r="F904" s="234"/>
      <c r="G904" s="234"/>
      <c r="H904" s="234"/>
      <c r="I904" s="234"/>
      <c r="J904" s="234"/>
      <c r="K904" s="234"/>
      <c r="M904" s="234"/>
      <c r="N904" s="234"/>
      <c r="O904" s="238"/>
      <c r="P904" s="234"/>
      <c r="Q904" s="234"/>
      <c r="R904" s="234"/>
      <c r="S904" s="234"/>
    </row>
    <row r="905">
      <c r="A905" s="234"/>
      <c r="B905" s="234"/>
      <c r="C905" s="236"/>
      <c r="D905" s="234"/>
      <c r="E905" s="234"/>
      <c r="F905" s="234"/>
      <c r="G905" s="234"/>
      <c r="H905" s="234"/>
      <c r="I905" s="234"/>
      <c r="J905" s="234"/>
      <c r="K905" s="234"/>
      <c r="M905" s="234"/>
      <c r="N905" s="234"/>
      <c r="O905" s="238"/>
      <c r="P905" s="234"/>
      <c r="Q905" s="234"/>
      <c r="R905" s="234"/>
      <c r="S905" s="234"/>
    </row>
    <row r="906">
      <c r="A906" s="234"/>
      <c r="B906" s="234"/>
      <c r="C906" s="236"/>
      <c r="D906" s="234"/>
      <c r="E906" s="234"/>
      <c r="F906" s="234"/>
      <c r="G906" s="234"/>
      <c r="H906" s="234"/>
      <c r="I906" s="234"/>
      <c r="J906" s="234"/>
      <c r="K906" s="234"/>
      <c r="M906" s="234"/>
      <c r="N906" s="234"/>
      <c r="O906" s="238"/>
      <c r="P906" s="234"/>
      <c r="Q906" s="234"/>
      <c r="R906" s="234"/>
      <c r="S906" s="234"/>
    </row>
    <row r="907">
      <c r="A907" s="234"/>
      <c r="B907" s="234"/>
      <c r="C907" s="236"/>
      <c r="D907" s="234"/>
      <c r="E907" s="234"/>
      <c r="F907" s="234"/>
      <c r="G907" s="234"/>
      <c r="H907" s="234"/>
      <c r="I907" s="234"/>
      <c r="J907" s="234"/>
      <c r="K907" s="234"/>
      <c r="M907" s="234"/>
      <c r="N907" s="234"/>
      <c r="O907" s="238"/>
      <c r="P907" s="234"/>
      <c r="Q907" s="234"/>
      <c r="R907" s="234"/>
      <c r="S907" s="234"/>
    </row>
    <row r="908">
      <c r="A908" s="234"/>
      <c r="B908" s="234"/>
      <c r="C908" s="236"/>
      <c r="D908" s="234"/>
      <c r="E908" s="234"/>
      <c r="F908" s="234"/>
      <c r="G908" s="234"/>
      <c r="H908" s="234"/>
      <c r="I908" s="234"/>
      <c r="J908" s="234"/>
      <c r="K908" s="234"/>
      <c r="M908" s="234"/>
      <c r="N908" s="234"/>
      <c r="O908" s="238"/>
      <c r="P908" s="234"/>
      <c r="Q908" s="234"/>
      <c r="R908" s="234"/>
      <c r="S908" s="234"/>
    </row>
    <row r="909">
      <c r="A909" s="234"/>
      <c r="B909" s="234"/>
      <c r="C909" s="236"/>
      <c r="D909" s="234"/>
      <c r="E909" s="234"/>
      <c r="F909" s="234"/>
      <c r="G909" s="234"/>
      <c r="H909" s="234"/>
      <c r="I909" s="234"/>
      <c r="J909" s="234"/>
      <c r="K909" s="234"/>
      <c r="M909" s="234"/>
      <c r="N909" s="234"/>
      <c r="O909" s="238"/>
      <c r="P909" s="234"/>
      <c r="Q909" s="234"/>
      <c r="R909" s="234"/>
      <c r="S909" s="234"/>
    </row>
    <row r="910">
      <c r="A910" s="234"/>
      <c r="B910" s="234"/>
      <c r="C910" s="236"/>
      <c r="D910" s="234"/>
      <c r="E910" s="234"/>
      <c r="F910" s="234"/>
      <c r="G910" s="234"/>
      <c r="H910" s="234"/>
      <c r="I910" s="234"/>
      <c r="J910" s="234"/>
      <c r="K910" s="234"/>
      <c r="M910" s="234"/>
      <c r="N910" s="234"/>
      <c r="O910" s="238"/>
      <c r="P910" s="234"/>
      <c r="Q910" s="234"/>
      <c r="R910" s="234"/>
      <c r="S910" s="234"/>
    </row>
    <row r="911">
      <c r="A911" s="234"/>
      <c r="B911" s="234"/>
      <c r="C911" s="236"/>
      <c r="D911" s="234"/>
      <c r="E911" s="234"/>
      <c r="F911" s="234"/>
      <c r="G911" s="234"/>
      <c r="H911" s="234"/>
      <c r="I911" s="234"/>
      <c r="J911" s="234"/>
      <c r="K911" s="234"/>
      <c r="M911" s="234"/>
      <c r="N911" s="234"/>
      <c r="O911" s="238"/>
      <c r="P911" s="234"/>
      <c r="Q911" s="234"/>
      <c r="R911" s="234"/>
      <c r="S911" s="234"/>
    </row>
    <row r="912">
      <c r="A912" s="234"/>
      <c r="B912" s="234"/>
      <c r="C912" s="236"/>
      <c r="D912" s="234"/>
      <c r="E912" s="234"/>
      <c r="F912" s="234"/>
      <c r="G912" s="234"/>
      <c r="H912" s="234"/>
      <c r="I912" s="234"/>
      <c r="J912" s="234"/>
      <c r="K912" s="234"/>
      <c r="M912" s="234"/>
      <c r="N912" s="234"/>
      <c r="O912" s="238"/>
      <c r="P912" s="234"/>
      <c r="Q912" s="234"/>
      <c r="R912" s="234"/>
      <c r="S912" s="234"/>
    </row>
    <row r="913">
      <c r="A913" s="234"/>
      <c r="B913" s="234"/>
      <c r="C913" s="236"/>
      <c r="D913" s="234"/>
      <c r="E913" s="234"/>
      <c r="F913" s="234"/>
      <c r="G913" s="234"/>
      <c r="H913" s="234"/>
      <c r="I913" s="234"/>
      <c r="J913" s="234"/>
      <c r="K913" s="234"/>
      <c r="M913" s="234"/>
      <c r="N913" s="234"/>
      <c r="O913" s="238"/>
      <c r="P913" s="234"/>
      <c r="Q913" s="234"/>
      <c r="R913" s="234"/>
      <c r="S913" s="234"/>
    </row>
    <row r="914">
      <c r="A914" s="234"/>
      <c r="B914" s="234"/>
      <c r="C914" s="236"/>
      <c r="D914" s="234"/>
      <c r="E914" s="234"/>
      <c r="F914" s="234"/>
      <c r="G914" s="234"/>
      <c r="H914" s="234"/>
      <c r="I914" s="234"/>
      <c r="J914" s="234"/>
      <c r="K914" s="234"/>
      <c r="M914" s="234"/>
      <c r="N914" s="234"/>
      <c r="O914" s="238"/>
      <c r="P914" s="234"/>
      <c r="Q914" s="234"/>
      <c r="R914" s="234"/>
      <c r="S914" s="234"/>
    </row>
    <row r="915">
      <c r="A915" s="234"/>
      <c r="B915" s="234"/>
      <c r="C915" s="236"/>
      <c r="D915" s="234"/>
      <c r="E915" s="234"/>
      <c r="F915" s="234"/>
      <c r="G915" s="234"/>
      <c r="H915" s="234"/>
      <c r="I915" s="234"/>
      <c r="J915" s="234"/>
      <c r="K915" s="234"/>
      <c r="M915" s="234"/>
      <c r="N915" s="234"/>
      <c r="O915" s="238"/>
      <c r="P915" s="234"/>
      <c r="Q915" s="234"/>
      <c r="R915" s="234"/>
      <c r="S915" s="234"/>
    </row>
    <row r="916">
      <c r="A916" s="234"/>
      <c r="B916" s="234"/>
      <c r="C916" s="236"/>
      <c r="D916" s="234"/>
      <c r="E916" s="234"/>
      <c r="F916" s="234"/>
      <c r="G916" s="234"/>
      <c r="H916" s="234"/>
      <c r="I916" s="234"/>
      <c r="J916" s="234"/>
      <c r="K916" s="234"/>
      <c r="M916" s="234"/>
      <c r="N916" s="234"/>
      <c r="O916" s="238"/>
      <c r="P916" s="234"/>
      <c r="Q916" s="234"/>
      <c r="R916" s="234"/>
      <c r="S916" s="234"/>
    </row>
    <row r="917">
      <c r="A917" s="234"/>
      <c r="B917" s="234"/>
      <c r="C917" s="236"/>
      <c r="D917" s="234"/>
      <c r="E917" s="234"/>
      <c r="F917" s="234"/>
      <c r="G917" s="234"/>
      <c r="H917" s="234"/>
      <c r="I917" s="234"/>
      <c r="J917" s="234"/>
      <c r="K917" s="234"/>
      <c r="M917" s="234"/>
      <c r="N917" s="234"/>
      <c r="O917" s="238"/>
      <c r="P917" s="234"/>
      <c r="Q917" s="234"/>
      <c r="R917" s="234"/>
      <c r="S917" s="234"/>
    </row>
    <row r="918">
      <c r="A918" s="234"/>
      <c r="B918" s="234"/>
      <c r="C918" s="236"/>
      <c r="D918" s="234"/>
      <c r="E918" s="234"/>
      <c r="F918" s="234"/>
      <c r="G918" s="234"/>
      <c r="H918" s="234"/>
      <c r="I918" s="234"/>
      <c r="J918" s="234"/>
      <c r="K918" s="234"/>
      <c r="M918" s="234"/>
      <c r="N918" s="234"/>
      <c r="O918" s="238"/>
      <c r="P918" s="234"/>
      <c r="Q918" s="234"/>
      <c r="R918" s="234"/>
      <c r="S918" s="234"/>
    </row>
    <row r="919">
      <c r="A919" s="234"/>
      <c r="B919" s="234"/>
      <c r="C919" s="236"/>
      <c r="D919" s="234"/>
      <c r="E919" s="234"/>
      <c r="F919" s="234"/>
      <c r="G919" s="234"/>
      <c r="H919" s="234"/>
      <c r="I919" s="234"/>
      <c r="J919" s="234"/>
      <c r="K919" s="234"/>
      <c r="M919" s="234"/>
      <c r="N919" s="234"/>
      <c r="O919" s="238"/>
      <c r="P919" s="234"/>
      <c r="Q919" s="234"/>
      <c r="R919" s="234"/>
      <c r="S919" s="234"/>
    </row>
    <row r="920">
      <c r="A920" s="234"/>
      <c r="B920" s="234"/>
      <c r="C920" s="236"/>
      <c r="D920" s="234"/>
      <c r="E920" s="234"/>
      <c r="F920" s="234"/>
      <c r="G920" s="234"/>
      <c r="H920" s="234"/>
      <c r="I920" s="234"/>
      <c r="J920" s="234"/>
      <c r="K920" s="234"/>
      <c r="M920" s="234"/>
      <c r="N920" s="234"/>
      <c r="O920" s="238"/>
      <c r="P920" s="234"/>
      <c r="Q920" s="234"/>
      <c r="R920" s="234"/>
      <c r="S920" s="234"/>
    </row>
    <row r="921">
      <c r="A921" s="234"/>
      <c r="B921" s="234"/>
      <c r="C921" s="236"/>
      <c r="D921" s="234"/>
      <c r="E921" s="234"/>
      <c r="F921" s="234"/>
      <c r="G921" s="234"/>
      <c r="H921" s="234"/>
      <c r="I921" s="234"/>
      <c r="J921" s="234"/>
      <c r="K921" s="234"/>
      <c r="M921" s="234"/>
      <c r="N921" s="234"/>
      <c r="O921" s="238"/>
      <c r="P921" s="234"/>
      <c r="Q921" s="234"/>
      <c r="R921" s="234"/>
      <c r="S921" s="234"/>
    </row>
    <row r="922">
      <c r="A922" s="234"/>
      <c r="B922" s="234"/>
      <c r="C922" s="236"/>
      <c r="D922" s="234"/>
      <c r="E922" s="234"/>
      <c r="F922" s="234"/>
      <c r="G922" s="234"/>
      <c r="H922" s="234"/>
      <c r="I922" s="234"/>
      <c r="J922" s="234"/>
      <c r="K922" s="234"/>
      <c r="M922" s="234"/>
      <c r="N922" s="234"/>
      <c r="O922" s="238"/>
      <c r="P922" s="234"/>
      <c r="Q922" s="234"/>
      <c r="R922" s="234"/>
      <c r="S922" s="234"/>
    </row>
    <row r="923">
      <c r="A923" s="234"/>
      <c r="B923" s="234"/>
      <c r="C923" s="236"/>
      <c r="D923" s="234"/>
      <c r="E923" s="234"/>
      <c r="F923" s="234"/>
      <c r="G923" s="234"/>
      <c r="H923" s="234"/>
      <c r="I923" s="234"/>
      <c r="J923" s="234"/>
      <c r="K923" s="234"/>
      <c r="M923" s="234"/>
      <c r="N923" s="234"/>
      <c r="O923" s="238"/>
      <c r="P923" s="234"/>
      <c r="Q923" s="234"/>
      <c r="R923" s="234"/>
      <c r="S923" s="234"/>
    </row>
    <row r="924">
      <c r="A924" s="234"/>
      <c r="B924" s="234"/>
      <c r="C924" s="236"/>
      <c r="D924" s="234"/>
      <c r="E924" s="234"/>
      <c r="F924" s="234"/>
      <c r="G924" s="234"/>
      <c r="H924" s="234"/>
      <c r="I924" s="234"/>
      <c r="J924" s="234"/>
      <c r="K924" s="234"/>
      <c r="M924" s="234"/>
      <c r="N924" s="234"/>
      <c r="O924" s="238"/>
      <c r="P924" s="234"/>
      <c r="Q924" s="234"/>
      <c r="R924" s="234"/>
      <c r="S924" s="234"/>
    </row>
    <row r="925">
      <c r="A925" s="234"/>
      <c r="B925" s="234"/>
      <c r="C925" s="236"/>
      <c r="D925" s="234"/>
      <c r="E925" s="234"/>
      <c r="F925" s="234"/>
      <c r="G925" s="234"/>
      <c r="H925" s="234"/>
      <c r="I925" s="234"/>
      <c r="J925" s="234"/>
      <c r="K925" s="234"/>
      <c r="M925" s="234"/>
      <c r="N925" s="234"/>
      <c r="O925" s="238"/>
      <c r="P925" s="234"/>
      <c r="Q925" s="234"/>
      <c r="R925" s="234"/>
      <c r="S925" s="234"/>
    </row>
    <row r="926">
      <c r="A926" s="234"/>
      <c r="B926" s="234"/>
      <c r="C926" s="236"/>
      <c r="D926" s="234"/>
      <c r="E926" s="234"/>
      <c r="F926" s="234"/>
      <c r="G926" s="234"/>
      <c r="H926" s="234"/>
      <c r="I926" s="234"/>
      <c r="J926" s="234"/>
      <c r="K926" s="234"/>
      <c r="M926" s="234"/>
      <c r="N926" s="234"/>
      <c r="O926" s="238"/>
      <c r="P926" s="234"/>
      <c r="Q926" s="234"/>
      <c r="R926" s="234"/>
      <c r="S926" s="234"/>
    </row>
    <row r="927">
      <c r="A927" s="234"/>
      <c r="B927" s="234"/>
      <c r="C927" s="236"/>
      <c r="D927" s="234"/>
      <c r="E927" s="234"/>
      <c r="F927" s="234"/>
      <c r="G927" s="234"/>
      <c r="H927" s="234"/>
      <c r="I927" s="234"/>
      <c r="J927" s="234"/>
      <c r="K927" s="234"/>
      <c r="M927" s="234"/>
      <c r="N927" s="234"/>
      <c r="O927" s="238"/>
      <c r="P927" s="234"/>
      <c r="Q927" s="234"/>
      <c r="R927" s="234"/>
      <c r="S927" s="234"/>
    </row>
    <row r="928">
      <c r="A928" s="234"/>
      <c r="B928" s="234"/>
      <c r="C928" s="236"/>
      <c r="D928" s="234"/>
      <c r="E928" s="234"/>
      <c r="F928" s="234"/>
      <c r="G928" s="234"/>
      <c r="H928" s="234"/>
      <c r="I928" s="234"/>
      <c r="J928" s="234"/>
      <c r="K928" s="234"/>
      <c r="M928" s="234"/>
      <c r="N928" s="234"/>
      <c r="O928" s="238"/>
      <c r="P928" s="234"/>
      <c r="Q928" s="234"/>
      <c r="R928" s="234"/>
      <c r="S928" s="234"/>
    </row>
    <row r="929">
      <c r="A929" s="234"/>
      <c r="B929" s="234"/>
      <c r="C929" s="236"/>
      <c r="D929" s="234"/>
      <c r="E929" s="234"/>
      <c r="F929" s="234"/>
      <c r="G929" s="234"/>
      <c r="H929" s="234"/>
      <c r="I929" s="234"/>
      <c r="J929" s="234"/>
      <c r="K929" s="234"/>
      <c r="M929" s="234"/>
      <c r="N929" s="234"/>
      <c r="O929" s="238"/>
      <c r="P929" s="234"/>
      <c r="Q929" s="234"/>
      <c r="R929" s="234"/>
      <c r="S929" s="234"/>
    </row>
    <row r="930">
      <c r="A930" s="234"/>
      <c r="B930" s="234"/>
      <c r="C930" s="236"/>
      <c r="D930" s="234"/>
      <c r="E930" s="234"/>
      <c r="F930" s="234"/>
      <c r="G930" s="234"/>
      <c r="H930" s="234"/>
      <c r="I930" s="234"/>
      <c r="J930" s="234"/>
      <c r="K930" s="234"/>
      <c r="M930" s="234"/>
      <c r="N930" s="234"/>
      <c r="O930" s="238"/>
      <c r="P930" s="234"/>
      <c r="Q930" s="234"/>
      <c r="R930" s="234"/>
      <c r="S930" s="234"/>
    </row>
    <row r="931">
      <c r="A931" s="234"/>
      <c r="B931" s="234"/>
      <c r="C931" s="236"/>
      <c r="D931" s="234"/>
      <c r="E931" s="234"/>
      <c r="F931" s="234"/>
      <c r="G931" s="234"/>
      <c r="H931" s="234"/>
      <c r="I931" s="234"/>
      <c r="J931" s="234"/>
      <c r="K931" s="234"/>
      <c r="M931" s="234"/>
      <c r="N931" s="234"/>
      <c r="O931" s="238"/>
      <c r="P931" s="234"/>
      <c r="Q931" s="234"/>
      <c r="R931" s="234"/>
      <c r="S931" s="234"/>
    </row>
    <row r="932">
      <c r="A932" s="234"/>
      <c r="B932" s="234"/>
      <c r="C932" s="236"/>
      <c r="D932" s="234"/>
      <c r="E932" s="234"/>
      <c r="F932" s="234"/>
      <c r="G932" s="234"/>
      <c r="H932" s="234"/>
      <c r="I932" s="234"/>
      <c r="J932" s="234"/>
      <c r="K932" s="234"/>
      <c r="M932" s="234"/>
      <c r="N932" s="234"/>
      <c r="O932" s="238"/>
      <c r="P932" s="234"/>
      <c r="Q932" s="234"/>
      <c r="R932" s="234"/>
      <c r="S932" s="234"/>
    </row>
    <row r="933">
      <c r="A933" s="234"/>
      <c r="B933" s="234"/>
      <c r="C933" s="236"/>
      <c r="D933" s="234"/>
      <c r="E933" s="234"/>
      <c r="F933" s="234"/>
      <c r="G933" s="234"/>
      <c r="H933" s="234"/>
      <c r="I933" s="234"/>
      <c r="J933" s="234"/>
      <c r="K933" s="234"/>
      <c r="M933" s="234"/>
      <c r="N933" s="234"/>
      <c r="O933" s="238"/>
      <c r="P933" s="234"/>
      <c r="Q933" s="234"/>
      <c r="R933" s="234"/>
      <c r="S933" s="234"/>
    </row>
    <row r="934">
      <c r="A934" s="234"/>
      <c r="B934" s="234"/>
      <c r="C934" s="236"/>
      <c r="D934" s="234"/>
      <c r="E934" s="234"/>
      <c r="F934" s="234"/>
      <c r="G934" s="234"/>
      <c r="H934" s="234"/>
      <c r="I934" s="234"/>
      <c r="J934" s="234"/>
      <c r="K934" s="234"/>
      <c r="M934" s="234"/>
      <c r="N934" s="234"/>
      <c r="O934" s="238"/>
      <c r="P934" s="234"/>
      <c r="Q934" s="234"/>
      <c r="R934" s="234"/>
      <c r="S934" s="234"/>
    </row>
    <row r="935">
      <c r="A935" s="234"/>
      <c r="B935" s="234"/>
      <c r="C935" s="236"/>
      <c r="D935" s="234"/>
      <c r="E935" s="234"/>
      <c r="F935" s="234"/>
      <c r="G935" s="234"/>
      <c r="H935" s="234"/>
      <c r="I935" s="234"/>
      <c r="J935" s="234"/>
      <c r="K935" s="234"/>
      <c r="M935" s="234"/>
      <c r="N935" s="234"/>
      <c r="O935" s="238"/>
      <c r="P935" s="234"/>
      <c r="Q935" s="234"/>
      <c r="R935" s="234"/>
      <c r="S935" s="234"/>
    </row>
    <row r="936">
      <c r="A936" s="234"/>
      <c r="B936" s="234"/>
      <c r="C936" s="236"/>
      <c r="D936" s="234"/>
      <c r="E936" s="234"/>
      <c r="F936" s="234"/>
      <c r="G936" s="234"/>
      <c r="H936" s="234"/>
      <c r="I936" s="234"/>
      <c r="J936" s="234"/>
      <c r="K936" s="234"/>
      <c r="M936" s="234"/>
      <c r="N936" s="234"/>
      <c r="O936" s="238"/>
      <c r="P936" s="234"/>
      <c r="Q936" s="234"/>
      <c r="R936" s="234"/>
      <c r="S936" s="234"/>
    </row>
    <row r="937">
      <c r="A937" s="234"/>
      <c r="B937" s="234"/>
      <c r="C937" s="236"/>
      <c r="D937" s="234"/>
      <c r="E937" s="234"/>
      <c r="F937" s="234"/>
      <c r="G937" s="234"/>
      <c r="H937" s="234"/>
      <c r="I937" s="234"/>
      <c r="J937" s="234"/>
      <c r="K937" s="234"/>
      <c r="M937" s="234"/>
      <c r="N937" s="234"/>
      <c r="O937" s="238"/>
      <c r="P937" s="234"/>
      <c r="Q937" s="234"/>
      <c r="R937" s="234"/>
      <c r="S937" s="234"/>
    </row>
    <row r="938">
      <c r="A938" s="234"/>
      <c r="B938" s="234"/>
      <c r="C938" s="236"/>
      <c r="D938" s="234"/>
      <c r="E938" s="234"/>
      <c r="F938" s="234"/>
      <c r="G938" s="234"/>
      <c r="H938" s="234"/>
      <c r="I938" s="234"/>
      <c r="J938" s="234"/>
      <c r="K938" s="234"/>
      <c r="M938" s="234"/>
      <c r="N938" s="234"/>
      <c r="O938" s="238"/>
      <c r="P938" s="234"/>
      <c r="Q938" s="234"/>
      <c r="R938" s="234"/>
      <c r="S938" s="234"/>
    </row>
    <row r="939">
      <c r="A939" s="234"/>
      <c r="B939" s="234"/>
      <c r="C939" s="236"/>
      <c r="D939" s="234"/>
      <c r="E939" s="234"/>
      <c r="F939" s="234"/>
      <c r="G939" s="234"/>
      <c r="H939" s="234"/>
      <c r="I939" s="234"/>
      <c r="J939" s="234"/>
      <c r="K939" s="234"/>
      <c r="M939" s="234"/>
      <c r="N939" s="234"/>
      <c r="O939" s="238"/>
      <c r="P939" s="234"/>
      <c r="Q939" s="234"/>
      <c r="R939" s="234"/>
      <c r="S939" s="234"/>
    </row>
    <row r="940">
      <c r="A940" s="234"/>
      <c r="B940" s="234"/>
      <c r="C940" s="236"/>
      <c r="D940" s="234"/>
      <c r="E940" s="234"/>
      <c r="F940" s="234"/>
      <c r="G940" s="234"/>
      <c r="H940" s="234"/>
      <c r="I940" s="234"/>
      <c r="J940" s="234"/>
      <c r="K940" s="234"/>
      <c r="M940" s="234"/>
      <c r="N940" s="234"/>
      <c r="O940" s="238"/>
      <c r="P940" s="234"/>
      <c r="Q940" s="234"/>
      <c r="R940" s="234"/>
      <c r="S940" s="234"/>
    </row>
    <row r="941">
      <c r="A941" s="234"/>
      <c r="B941" s="234"/>
      <c r="C941" s="236"/>
      <c r="D941" s="234"/>
      <c r="E941" s="234"/>
      <c r="F941" s="234"/>
      <c r="G941" s="234"/>
      <c r="H941" s="234"/>
      <c r="I941" s="234"/>
      <c r="J941" s="234"/>
      <c r="K941" s="234"/>
      <c r="M941" s="234"/>
      <c r="N941" s="234"/>
      <c r="O941" s="238"/>
      <c r="P941" s="234"/>
      <c r="Q941" s="234"/>
      <c r="R941" s="234"/>
      <c r="S941" s="234"/>
    </row>
    <row r="942">
      <c r="A942" s="234"/>
      <c r="B942" s="234"/>
      <c r="C942" s="236"/>
      <c r="D942" s="234"/>
      <c r="E942" s="234"/>
      <c r="F942" s="234"/>
      <c r="G942" s="234"/>
      <c r="H942" s="234"/>
      <c r="I942" s="234"/>
      <c r="J942" s="234"/>
      <c r="K942" s="234"/>
      <c r="M942" s="234"/>
      <c r="N942" s="234"/>
      <c r="O942" s="238"/>
      <c r="P942" s="234"/>
      <c r="Q942" s="234"/>
      <c r="R942" s="234"/>
      <c r="S942" s="234"/>
    </row>
    <row r="943">
      <c r="A943" s="234"/>
      <c r="B943" s="234"/>
      <c r="C943" s="236"/>
      <c r="D943" s="234"/>
      <c r="E943" s="234"/>
      <c r="F943" s="234"/>
      <c r="G943" s="234"/>
      <c r="H943" s="234"/>
      <c r="I943" s="234"/>
      <c r="J943" s="234"/>
      <c r="K943" s="234"/>
      <c r="M943" s="234"/>
      <c r="N943" s="234"/>
      <c r="O943" s="238"/>
      <c r="P943" s="234"/>
      <c r="Q943" s="234"/>
      <c r="R943" s="234"/>
      <c r="S943" s="234"/>
    </row>
    <row r="944">
      <c r="A944" s="234"/>
      <c r="B944" s="234"/>
      <c r="C944" s="236"/>
      <c r="D944" s="234"/>
      <c r="E944" s="234"/>
      <c r="F944" s="234"/>
      <c r="G944" s="234"/>
      <c r="H944" s="234"/>
      <c r="I944" s="234"/>
      <c r="J944" s="234"/>
      <c r="K944" s="234"/>
      <c r="M944" s="234"/>
      <c r="N944" s="234"/>
      <c r="O944" s="238"/>
      <c r="P944" s="234"/>
      <c r="Q944" s="234"/>
      <c r="R944" s="234"/>
      <c r="S944" s="234"/>
    </row>
    <row r="945">
      <c r="A945" s="234"/>
      <c r="B945" s="234"/>
      <c r="C945" s="236"/>
      <c r="D945" s="234"/>
      <c r="E945" s="234"/>
      <c r="F945" s="234"/>
      <c r="G945" s="234"/>
      <c r="H945" s="234"/>
      <c r="I945" s="234"/>
      <c r="J945" s="234"/>
      <c r="K945" s="234"/>
      <c r="M945" s="234"/>
      <c r="N945" s="234"/>
      <c r="O945" s="238"/>
      <c r="P945" s="234"/>
      <c r="Q945" s="234"/>
      <c r="R945" s="234"/>
      <c r="S945" s="234"/>
    </row>
    <row r="946">
      <c r="A946" s="234"/>
      <c r="B946" s="234"/>
      <c r="C946" s="236"/>
      <c r="D946" s="234"/>
      <c r="E946" s="234"/>
      <c r="F946" s="234"/>
      <c r="G946" s="234"/>
      <c r="H946" s="234"/>
      <c r="I946" s="234"/>
      <c r="J946" s="234"/>
      <c r="K946" s="234"/>
      <c r="M946" s="234"/>
      <c r="N946" s="234"/>
      <c r="O946" s="238"/>
      <c r="P946" s="234"/>
      <c r="Q946" s="234"/>
      <c r="R946" s="234"/>
      <c r="S946" s="234"/>
    </row>
    <row r="947">
      <c r="A947" s="234"/>
      <c r="B947" s="234"/>
      <c r="C947" s="236"/>
      <c r="D947" s="234"/>
      <c r="E947" s="234"/>
      <c r="F947" s="234"/>
      <c r="G947" s="234"/>
      <c r="H947" s="234"/>
      <c r="I947" s="234"/>
      <c r="J947" s="234"/>
      <c r="K947" s="234"/>
      <c r="M947" s="234"/>
      <c r="N947" s="234"/>
      <c r="O947" s="238"/>
      <c r="P947" s="234"/>
      <c r="Q947" s="234"/>
      <c r="R947" s="234"/>
      <c r="S947" s="234"/>
    </row>
    <row r="948">
      <c r="A948" s="234"/>
      <c r="B948" s="234"/>
      <c r="C948" s="236"/>
      <c r="D948" s="234"/>
      <c r="E948" s="234"/>
      <c r="F948" s="234"/>
      <c r="G948" s="234"/>
      <c r="H948" s="234"/>
      <c r="I948" s="234"/>
      <c r="J948" s="234"/>
      <c r="K948" s="234"/>
      <c r="M948" s="234"/>
      <c r="N948" s="234"/>
      <c r="O948" s="238"/>
      <c r="P948" s="234"/>
      <c r="Q948" s="234"/>
      <c r="R948" s="234"/>
      <c r="S948" s="234"/>
    </row>
    <row r="949">
      <c r="A949" s="234"/>
      <c r="B949" s="234"/>
      <c r="C949" s="236"/>
      <c r="D949" s="234"/>
      <c r="E949" s="234"/>
      <c r="F949" s="234"/>
      <c r="G949" s="234"/>
      <c r="H949" s="234"/>
      <c r="I949" s="234"/>
      <c r="J949" s="234"/>
      <c r="K949" s="234"/>
      <c r="M949" s="234"/>
      <c r="N949" s="234"/>
      <c r="O949" s="238"/>
      <c r="P949" s="234"/>
      <c r="Q949" s="234"/>
      <c r="R949" s="234"/>
      <c r="S949" s="234"/>
    </row>
    <row r="950">
      <c r="A950" s="234"/>
      <c r="B950" s="234"/>
      <c r="C950" s="236"/>
      <c r="D950" s="234"/>
      <c r="E950" s="234"/>
      <c r="F950" s="234"/>
      <c r="G950" s="234"/>
      <c r="H950" s="234"/>
      <c r="I950" s="234"/>
      <c r="J950" s="234"/>
      <c r="K950" s="234"/>
      <c r="M950" s="234"/>
      <c r="N950" s="234"/>
      <c r="O950" s="238"/>
      <c r="P950" s="234"/>
      <c r="Q950" s="234"/>
      <c r="R950" s="234"/>
      <c r="S950" s="234"/>
    </row>
    <row r="951">
      <c r="A951" s="234"/>
      <c r="B951" s="234"/>
      <c r="C951" s="236"/>
      <c r="D951" s="234"/>
      <c r="E951" s="234"/>
      <c r="F951" s="234"/>
      <c r="G951" s="234"/>
      <c r="H951" s="234"/>
      <c r="I951" s="234"/>
      <c r="J951" s="234"/>
      <c r="K951" s="234"/>
      <c r="M951" s="234"/>
      <c r="N951" s="234"/>
      <c r="O951" s="238"/>
      <c r="P951" s="234"/>
      <c r="Q951" s="234"/>
      <c r="R951" s="234"/>
      <c r="S951" s="234"/>
    </row>
    <row r="952">
      <c r="A952" s="234"/>
      <c r="B952" s="234"/>
      <c r="C952" s="236"/>
      <c r="D952" s="234"/>
      <c r="E952" s="234"/>
      <c r="F952" s="234"/>
      <c r="G952" s="234"/>
      <c r="H952" s="234"/>
      <c r="I952" s="234"/>
      <c r="J952" s="234"/>
      <c r="K952" s="234"/>
      <c r="M952" s="234"/>
      <c r="N952" s="234"/>
      <c r="O952" s="238"/>
      <c r="P952" s="234"/>
      <c r="Q952" s="234"/>
      <c r="R952" s="234"/>
      <c r="S952" s="234"/>
    </row>
    <row r="953">
      <c r="A953" s="234"/>
      <c r="B953" s="234"/>
      <c r="C953" s="236"/>
      <c r="D953" s="234"/>
      <c r="E953" s="234"/>
      <c r="F953" s="234"/>
      <c r="G953" s="234"/>
      <c r="H953" s="234"/>
      <c r="I953" s="234"/>
      <c r="J953" s="234"/>
      <c r="K953" s="234"/>
      <c r="M953" s="234"/>
      <c r="N953" s="234"/>
      <c r="O953" s="238"/>
      <c r="P953" s="234"/>
      <c r="Q953" s="234"/>
      <c r="R953" s="234"/>
      <c r="S953" s="234"/>
    </row>
    <row r="954">
      <c r="A954" s="234"/>
      <c r="B954" s="234"/>
      <c r="C954" s="236"/>
      <c r="D954" s="234"/>
      <c r="E954" s="234"/>
      <c r="F954" s="234"/>
      <c r="G954" s="234"/>
      <c r="H954" s="234"/>
      <c r="I954" s="234"/>
      <c r="J954" s="234"/>
      <c r="K954" s="234"/>
      <c r="M954" s="234"/>
      <c r="N954" s="234"/>
      <c r="O954" s="238"/>
      <c r="P954" s="234"/>
      <c r="Q954" s="234"/>
      <c r="R954" s="234"/>
      <c r="S954" s="234"/>
    </row>
    <row r="955">
      <c r="A955" s="234"/>
      <c r="B955" s="234"/>
      <c r="C955" s="236"/>
      <c r="D955" s="234"/>
      <c r="E955" s="234"/>
      <c r="F955" s="234"/>
      <c r="G955" s="234"/>
      <c r="H955" s="234"/>
      <c r="I955" s="234"/>
      <c r="J955" s="234"/>
      <c r="K955" s="234"/>
      <c r="M955" s="234"/>
      <c r="N955" s="234"/>
      <c r="O955" s="238"/>
      <c r="P955" s="234"/>
      <c r="Q955" s="234"/>
      <c r="R955" s="234"/>
      <c r="S955" s="234"/>
    </row>
    <row r="956">
      <c r="A956" s="234"/>
      <c r="B956" s="234"/>
      <c r="C956" s="236"/>
      <c r="D956" s="234"/>
      <c r="E956" s="234"/>
      <c r="F956" s="234"/>
      <c r="G956" s="234"/>
      <c r="H956" s="234"/>
      <c r="I956" s="234"/>
      <c r="J956" s="234"/>
      <c r="K956" s="234"/>
      <c r="M956" s="234"/>
      <c r="N956" s="234"/>
      <c r="O956" s="238"/>
      <c r="P956" s="234"/>
      <c r="Q956" s="234"/>
      <c r="R956" s="234"/>
      <c r="S956" s="234"/>
    </row>
    <row r="957">
      <c r="A957" s="234"/>
      <c r="B957" s="234"/>
      <c r="C957" s="236"/>
      <c r="D957" s="234"/>
      <c r="E957" s="234"/>
      <c r="F957" s="234"/>
      <c r="G957" s="234"/>
      <c r="H957" s="234"/>
      <c r="I957" s="234"/>
      <c r="J957" s="234"/>
      <c r="K957" s="234"/>
      <c r="M957" s="234"/>
      <c r="N957" s="234"/>
      <c r="O957" s="238"/>
      <c r="P957" s="234"/>
      <c r="Q957" s="234"/>
      <c r="R957" s="234"/>
      <c r="S957" s="234"/>
    </row>
    <row r="958">
      <c r="A958" s="234"/>
      <c r="B958" s="234"/>
      <c r="C958" s="236"/>
      <c r="D958" s="234"/>
      <c r="E958" s="234"/>
      <c r="F958" s="234"/>
      <c r="G958" s="234"/>
      <c r="H958" s="234"/>
      <c r="I958" s="234"/>
      <c r="J958" s="234"/>
      <c r="K958" s="234"/>
      <c r="M958" s="234"/>
      <c r="N958" s="234"/>
      <c r="O958" s="238"/>
      <c r="P958" s="234"/>
      <c r="Q958" s="234"/>
      <c r="R958" s="234"/>
      <c r="S958" s="234"/>
    </row>
    <row r="959">
      <c r="A959" s="234"/>
      <c r="B959" s="234"/>
      <c r="C959" s="236"/>
      <c r="D959" s="234"/>
      <c r="E959" s="234"/>
      <c r="F959" s="234"/>
      <c r="G959" s="234"/>
      <c r="H959" s="234"/>
      <c r="I959" s="234"/>
      <c r="J959" s="234"/>
      <c r="K959" s="234"/>
      <c r="M959" s="234"/>
      <c r="N959" s="234"/>
      <c r="O959" s="238"/>
      <c r="P959" s="234"/>
      <c r="Q959" s="234"/>
      <c r="R959" s="234"/>
      <c r="S959" s="234"/>
    </row>
    <row r="960">
      <c r="A960" s="234"/>
      <c r="B960" s="234"/>
      <c r="C960" s="236"/>
      <c r="D960" s="234"/>
      <c r="E960" s="234"/>
      <c r="F960" s="234"/>
      <c r="G960" s="234"/>
      <c r="H960" s="234"/>
      <c r="I960" s="234"/>
      <c r="J960" s="234"/>
      <c r="K960" s="234"/>
      <c r="M960" s="234"/>
      <c r="N960" s="234"/>
      <c r="O960" s="238"/>
      <c r="P960" s="234"/>
      <c r="Q960" s="234"/>
      <c r="R960" s="234"/>
      <c r="S960" s="234"/>
    </row>
    <row r="961">
      <c r="A961" s="234"/>
      <c r="B961" s="234"/>
      <c r="C961" s="236"/>
      <c r="D961" s="234"/>
      <c r="E961" s="234"/>
      <c r="F961" s="234"/>
      <c r="G961" s="234"/>
      <c r="H961" s="234"/>
      <c r="I961" s="234"/>
      <c r="J961" s="234"/>
      <c r="K961" s="234"/>
      <c r="M961" s="234"/>
      <c r="N961" s="234"/>
      <c r="O961" s="238"/>
      <c r="P961" s="234"/>
      <c r="Q961" s="234"/>
      <c r="R961" s="234"/>
      <c r="S961" s="234"/>
    </row>
    <row r="962">
      <c r="A962" s="234"/>
      <c r="B962" s="234"/>
      <c r="C962" s="236"/>
      <c r="D962" s="234"/>
      <c r="E962" s="234"/>
      <c r="F962" s="234"/>
      <c r="G962" s="234"/>
      <c r="H962" s="234"/>
      <c r="I962" s="234"/>
      <c r="J962" s="234"/>
      <c r="K962" s="234"/>
      <c r="M962" s="234"/>
      <c r="N962" s="234"/>
      <c r="O962" s="238"/>
      <c r="P962" s="234"/>
      <c r="Q962" s="234"/>
      <c r="R962" s="234"/>
      <c r="S962" s="234"/>
    </row>
    <row r="963">
      <c r="A963" s="234"/>
      <c r="B963" s="234"/>
      <c r="C963" s="236"/>
      <c r="D963" s="234"/>
      <c r="E963" s="234"/>
      <c r="F963" s="234"/>
      <c r="G963" s="234"/>
      <c r="H963" s="234"/>
      <c r="I963" s="234"/>
      <c r="J963" s="234"/>
      <c r="K963" s="234"/>
      <c r="M963" s="234"/>
      <c r="N963" s="234"/>
      <c r="O963" s="238"/>
      <c r="P963" s="234"/>
      <c r="Q963" s="234"/>
      <c r="R963" s="234"/>
      <c r="S963" s="234"/>
    </row>
    <row r="964">
      <c r="A964" s="234"/>
      <c r="B964" s="234"/>
      <c r="C964" s="236"/>
      <c r="D964" s="234"/>
      <c r="E964" s="234"/>
      <c r="F964" s="234"/>
      <c r="G964" s="234"/>
      <c r="H964" s="234"/>
      <c r="I964" s="234"/>
      <c r="J964" s="234"/>
      <c r="K964" s="234"/>
      <c r="M964" s="234"/>
      <c r="N964" s="234"/>
      <c r="O964" s="238"/>
      <c r="P964" s="234"/>
      <c r="Q964" s="234"/>
      <c r="R964" s="234"/>
      <c r="S964" s="234"/>
    </row>
    <row r="965">
      <c r="A965" s="234"/>
      <c r="B965" s="234"/>
      <c r="C965" s="236"/>
      <c r="D965" s="234"/>
      <c r="E965" s="234"/>
      <c r="F965" s="234"/>
      <c r="G965" s="234"/>
      <c r="H965" s="234"/>
      <c r="I965" s="234"/>
      <c r="J965" s="234"/>
      <c r="K965" s="234"/>
      <c r="M965" s="234"/>
      <c r="N965" s="234"/>
      <c r="O965" s="238"/>
      <c r="P965" s="234"/>
      <c r="Q965" s="234"/>
      <c r="R965" s="234"/>
      <c r="S965" s="234"/>
    </row>
    <row r="966">
      <c r="A966" s="234"/>
      <c r="B966" s="234"/>
      <c r="C966" s="236"/>
      <c r="D966" s="234"/>
      <c r="E966" s="234"/>
      <c r="F966" s="234"/>
      <c r="G966" s="234"/>
      <c r="H966" s="234"/>
      <c r="I966" s="234"/>
      <c r="J966" s="234"/>
      <c r="K966" s="234"/>
      <c r="M966" s="234"/>
      <c r="N966" s="234"/>
      <c r="O966" s="238"/>
      <c r="P966" s="234"/>
      <c r="Q966" s="234"/>
      <c r="R966" s="234"/>
      <c r="S966" s="234"/>
    </row>
    <row r="967">
      <c r="A967" s="234"/>
      <c r="B967" s="234"/>
      <c r="C967" s="236"/>
      <c r="D967" s="234"/>
      <c r="E967" s="234"/>
      <c r="F967" s="234"/>
      <c r="G967" s="234"/>
      <c r="H967" s="234"/>
      <c r="I967" s="234"/>
      <c r="J967" s="234"/>
      <c r="K967" s="234"/>
      <c r="M967" s="234"/>
      <c r="N967" s="234"/>
      <c r="O967" s="238"/>
      <c r="P967" s="234"/>
      <c r="Q967" s="234"/>
      <c r="R967" s="234"/>
      <c r="S967" s="234"/>
    </row>
    <row r="968">
      <c r="A968" s="234"/>
      <c r="B968" s="234"/>
      <c r="C968" s="236"/>
      <c r="D968" s="234"/>
      <c r="E968" s="234"/>
      <c r="F968" s="234"/>
      <c r="G968" s="234"/>
      <c r="H968" s="234"/>
      <c r="I968" s="234"/>
      <c r="J968" s="234"/>
      <c r="K968" s="234"/>
      <c r="M968" s="234"/>
      <c r="N968" s="234"/>
      <c r="O968" s="238"/>
      <c r="P968" s="234"/>
      <c r="Q968" s="234"/>
      <c r="R968" s="234"/>
      <c r="S968" s="234"/>
    </row>
    <row r="969">
      <c r="A969" s="234"/>
      <c r="B969" s="234"/>
      <c r="C969" s="236"/>
      <c r="D969" s="234"/>
      <c r="E969" s="234"/>
      <c r="F969" s="234"/>
      <c r="G969" s="234"/>
      <c r="H969" s="234"/>
      <c r="I969" s="234"/>
      <c r="J969" s="234"/>
      <c r="K969" s="234"/>
      <c r="M969" s="234"/>
      <c r="N969" s="234"/>
      <c r="O969" s="238"/>
      <c r="P969" s="234"/>
      <c r="Q969" s="234"/>
      <c r="R969" s="234"/>
      <c r="S969" s="234"/>
    </row>
    <row r="970">
      <c r="A970" s="234"/>
      <c r="B970" s="234"/>
      <c r="C970" s="236"/>
      <c r="D970" s="234"/>
      <c r="E970" s="234"/>
      <c r="F970" s="234"/>
      <c r="G970" s="234"/>
      <c r="H970" s="234"/>
      <c r="I970" s="234"/>
      <c r="J970" s="234"/>
      <c r="K970" s="234"/>
      <c r="M970" s="234"/>
      <c r="N970" s="234"/>
      <c r="O970" s="238"/>
      <c r="P970" s="234"/>
      <c r="Q970" s="234"/>
      <c r="R970" s="234"/>
      <c r="S970" s="234"/>
    </row>
    <row r="971">
      <c r="A971" s="234"/>
      <c r="B971" s="234"/>
      <c r="C971" s="236"/>
      <c r="D971" s="234"/>
      <c r="E971" s="234"/>
      <c r="F971" s="234"/>
      <c r="G971" s="234"/>
      <c r="H971" s="234"/>
      <c r="I971" s="234"/>
      <c r="J971" s="234"/>
      <c r="K971" s="234"/>
      <c r="M971" s="234"/>
      <c r="N971" s="234"/>
      <c r="O971" s="238"/>
      <c r="P971" s="234"/>
      <c r="Q971" s="234"/>
      <c r="R971" s="234"/>
      <c r="S971" s="234"/>
    </row>
    <row r="972">
      <c r="A972" s="234"/>
      <c r="B972" s="234"/>
      <c r="C972" s="236"/>
      <c r="D972" s="234"/>
      <c r="E972" s="234"/>
      <c r="F972" s="234"/>
      <c r="G972" s="234"/>
      <c r="H972" s="234"/>
      <c r="I972" s="234"/>
      <c r="J972" s="234"/>
      <c r="K972" s="234"/>
      <c r="M972" s="234"/>
      <c r="N972" s="234"/>
      <c r="O972" s="238"/>
      <c r="P972" s="234"/>
      <c r="Q972" s="234"/>
      <c r="R972" s="234"/>
      <c r="S972" s="234"/>
    </row>
    <row r="973">
      <c r="A973" s="234"/>
      <c r="B973" s="234"/>
      <c r="C973" s="236"/>
      <c r="D973" s="234"/>
      <c r="E973" s="234"/>
      <c r="F973" s="234"/>
      <c r="G973" s="234"/>
      <c r="H973" s="234"/>
      <c r="I973" s="234"/>
      <c r="J973" s="234"/>
      <c r="K973" s="234"/>
      <c r="M973" s="234"/>
      <c r="N973" s="234"/>
      <c r="O973" s="238"/>
      <c r="P973" s="234"/>
      <c r="Q973" s="234"/>
      <c r="R973" s="234"/>
      <c r="S973" s="234"/>
    </row>
    <row r="974">
      <c r="A974" s="234"/>
      <c r="B974" s="234"/>
      <c r="C974" s="236"/>
      <c r="D974" s="234"/>
      <c r="E974" s="234"/>
      <c r="F974" s="234"/>
      <c r="G974" s="234"/>
      <c r="H974" s="234"/>
      <c r="I974" s="234"/>
      <c r="J974" s="234"/>
      <c r="K974" s="234"/>
      <c r="M974" s="234"/>
      <c r="N974" s="234"/>
      <c r="O974" s="238"/>
      <c r="P974" s="234"/>
      <c r="Q974" s="234"/>
      <c r="R974" s="234"/>
      <c r="S974" s="234"/>
    </row>
    <row r="975">
      <c r="A975" s="234"/>
      <c r="B975" s="234"/>
      <c r="C975" s="236"/>
      <c r="D975" s="234"/>
      <c r="E975" s="234"/>
      <c r="F975" s="234"/>
      <c r="G975" s="234"/>
      <c r="H975" s="234"/>
      <c r="I975" s="234"/>
      <c r="J975" s="234"/>
      <c r="K975" s="234"/>
      <c r="M975" s="234"/>
      <c r="N975" s="234"/>
      <c r="O975" s="238"/>
      <c r="P975" s="234"/>
      <c r="Q975" s="234"/>
      <c r="R975" s="234"/>
      <c r="S975" s="234"/>
    </row>
    <row r="976">
      <c r="A976" s="234"/>
      <c r="B976" s="234"/>
      <c r="C976" s="236"/>
      <c r="D976" s="234"/>
      <c r="E976" s="234"/>
      <c r="F976" s="234"/>
      <c r="G976" s="234"/>
      <c r="H976" s="234"/>
      <c r="I976" s="234"/>
      <c r="J976" s="234"/>
      <c r="K976" s="234"/>
      <c r="M976" s="234"/>
      <c r="N976" s="234"/>
      <c r="O976" s="238"/>
      <c r="P976" s="234"/>
      <c r="Q976" s="234"/>
      <c r="R976" s="234"/>
      <c r="S976" s="234"/>
    </row>
    <row r="977">
      <c r="A977" s="234"/>
      <c r="B977" s="234"/>
      <c r="C977" s="236"/>
      <c r="D977" s="234"/>
      <c r="E977" s="234"/>
      <c r="F977" s="234"/>
      <c r="G977" s="234"/>
      <c r="H977" s="234"/>
      <c r="I977" s="234"/>
      <c r="J977" s="234"/>
      <c r="K977" s="234"/>
      <c r="M977" s="234"/>
      <c r="N977" s="234"/>
      <c r="O977" s="238"/>
      <c r="P977" s="234"/>
      <c r="Q977" s="234"/>
      <c r="R977" s="234"/>
      <c r="S977" s="234"/>
    </row>
    <row r="978">
      <c r="A978" s="234"/>
      <c r="B978" s="234"/>
      <c r="C978" s="236"/>
      <c r="D978" s="234"/>
      <c r="E978" s="234"/>
      <c r="F978" s="234"/>
      <c r="G978" s="234"/>
      <c r="H978" s="234"/>
      <c r="I978" s="234"/>
      <c r="J978" s="234"/>
      <c r="K978" s="234"/>
      <c r="M978" s="234"/>
      <c r="N978" s="234"/>
      <c r="O978" s="238"/>
      <c r="P978" s="234"/>
      <c r="Q978" s="234"/>
      <c r="R978" s="234"/>
      <c r="S978" s="234"/>
    </row>
    <row r="979">
      <c r="A979" s="234"/>
      <c r="B979" s="234"/>
      <c r="C979" s="236"/>
      <c r="D979" s="234"/>
      <c r="E979" s="234"/>
      <c r="F979" s="234"/>
      <c r="G979" s="234"/>
      <c r="H979" s="234"/>
      <c r="I979" s="234"/>
      <c r="J979" s="234"/>
      <c r="K979" s="234"/>
      <c r="M979" s="234"/>
      <c r="N979" s="234"/>
      <c r="O979" s="238"/>
      <c r="P979" s="234"/>
      <c r="Q979" s="234"/>
      <c r="R979" s="234"/>
      <c r="S979" s="234"/>
    </row>
    <row r="980">
      <c r="A980" s="234"/>
      <c r="B980" s="234"/>
      <c r="C980" s="236"/>
      <c r="D980" s="234"/>
      <c r="E980" s="234"/>
      <c r="F980" s="234"/>
      <c r="G980" s="234"/>
      <c r="H980" s="234"/>
      <c r="I980" s="234"/>
      <c r="J980" s="234"/>
      <c r="K980" s="234"/>
      <c r="M980" s="234"/>
      <c r="N980" s="234"/>
      <c r="O980" s="238"/>
      <c r="P980" s="234"/>
      <c r="Q980" s="234"/>
      <c r="R980" s="234"/>
      <c r="S980" s="234"/>
    </row>
    <row r="981">
      <c r="A981" s="234"/>
      <c r="B981" s="234"/>
      <c r="C981" s="236"/>
      <c r="D981" s="234"/>
      <c r="E981" s="234"/>
      <c r="F981" s="234"/>
      <c r="G981" s="234"/>
      <c r="H981" s="234"/>
      <c r="I981" s="234"/>
      <c r="J981" s="234"/>
      <c r="K981" s="234"/>
      <c r="M981" s="234"/>
      <c r="N981" s="234"/>
      <c r="O981" s="238"/>
      <c r="P981" s="234"/>
      <c r="Q981" s="234"/>
      <c r="R981" s="234"/>
      <c r="S981" s="234"/>
    </row>
    <row r="982">
      <c r="A982" s="234"/>
      <c r="B982" s="234"/>
      <c r="C982" s="236"/>
      <c r="D982" s="234"/>
      <c r="E982" s="234"/>
      <c r="F982" s="234"/>
      <c r="G982" s="234"/>
      <c r="H982" s="234"/>
      <c r="I982" s="234"/>
      <c r="J982" s="234"/>
      <c r="K982" s="234"/>
      <c r="M982" s="234"/>
      <c r="N982" s="234"/>
      <c r="O982" s="238"/>
      <c r="P982" s="234"/>
      <c r="Q982" s="234"/>
      <c r="R982" s="234"/>
      <c r="S982" s="234"/>
    </row>
    <row r="983">
      <c r="A983" s="234"/>
      <c r="B983" s="234"/>
      <c r="C983" s="236"/>
      <c r="D983" s="234"/>
      <c r="E983" s="234"/>
      <c r="F983" s="234"/>
      <c r="G983" s="234"/>
      <c r="H983" s="234"/>
      <c r="I983" s="234"/>
      <c r="J983" s="234"/>
      <c r="K983" s="234"/>
      <c r="M983" s="234"/>
      <c r="N983" s="234"/>
      <c r="O983" s="238"/>
      <c r="P983" s="234"/>
      <c r="Q983" s="234"/>
      <c r="R983" s="234"/>
      <c r="S983" s="234"/>
    </row>
    <row r="984">
      <c r="A984" s="234"/>
      <c r="B984" s="234"/>
      <c r="C984" s="236"/>
      <c r="D984" s="234"/>
      <c r="E984" s="234"/>
      <c r="F984" s="234"/>
      <c r="G984" s="234"/>
      <c r="H984" s="234"/>
      <c r="I984" s="234"/>
      <c r="J984" s="234"/>
      <c r="K984" s="234"/>
      <c r="M984" s="234"/>
      <c r="N984" s="234"/>
      <c r="O984" s="238"/>
      <c r="P984" s="234"/>
      <c r="Q984" s="234"/>
      <c r="R984" s="234"/>
      <c r="S984" s="234"/>
    </row>
    <row r="985">
      <c r="A985" s="234"/>
      <c r="B985" s="234"/>
      <c r="C985" s="236"/>
      <c r="D985" s="234"/>
      <c r="E985" s="234"/>
      <c r="F985" s="234"/>
      <c r="G985" s="234"/>
      <c r="H985" s="234"/>
      <c r="I985" s="234"/>
      <c r="J985" s="234"/>
      <c r="K985" s="234"/>
      <c r="M985" s="234"/>
      <c r="N985" s="234"/>
      <c r="O985" s="238"/>
      <c r="P985" s="234"/>
      <c r="Q985" s="234"/>
      <c r="R985" s="234"/>
      <c r="S985" s="234"/>
    </row>
    <row r="986">
      <c r="A986" s="234"/>
      <c r="B986" s="234"/>
      <c r="C986" s="236"/>
      <c r="D986" s="234"/>
      <c r="E986" s="234"/>
      <c r="F986" s="234"/>
      <c r="G986" s="234"/>
      <c r="H986" s="234"/>
      <c r="I986" s="234"/>
      <c r="J986" s="234"/>
      <c r="K986" s="234"/>
      <c r="M986" s="234"/>
      <c r="N986" s="234"/>
      <c r="O986" s="238"/>
      <c r="P986" s="234"/>
      <c r="Q986" s="234"/>
      <c r="R986" s="234"/>
      <c r="S986" s="234"/>
    </row>
    <row r="987">
      <c r="A987" s="234"/>
      <c r="B987" s="234"/>
      <c r="C987" s="236"/>
      <c r="D987" s="234"/>
      <c r="E987" s="234"/>
      <c r="F987" s="234"/>
      <c r="G987" s="234"/>
      <c r="H987" s="234"/>
      <c r="I987" s="234"/>
      <c r="J987" s="234"/>
      <c r="K987" s="234"/>
      <c r="M987" s="234"/>
      <c r="N987" s="234"/>
      <c r="O987" s="238"/>
      <c r="P987" s="234"/>
      <c r="Q987" s="234"/>
      <c r="R987" s="234"/>
      <c r="S987" s="234"/>
    </row>
    <row r="988">
      <c r="A988" s="234"/>
      <c r="B988" s="234"/>
      <c r="C988" s="236"/>
      <c r="D988" s="234"/>
      <c r="E988" s="234"/>
      <c r="F988" s="234"/>
      <c r="G988" s="234"/>
      <c r="H988" s="234"/>
      <c r="I988" s="234"/>
      <c r="J988" s="234"/>
      <c r="K988" s="234"/>
      <c r="M988" s="234"/>
      <c r="N988" s="234"/>
      <c r="O988" s="238"/>
      <c r="P988" s="234"/>
      <c r="Q988" s="234"/>
      <c r="R988" s="234"/>
      <c r="S988" s="234"/>
    </row>
    <row r="989">
      <c r="A989" s="234"/>
      <c r="B989" s="234"/>
      <c r="C989" s="236"/>
      <c r="D989" s="234"/>
      <c r="E989" s="234"/>
      <c r="F989" s="234"/>
      <c r="G989" s="234"/>
      <c r="H989" s="234"/>
      <c r="I989" s="234"/>
      <c r="J989" s="234"/>
      <c r="K989" s="234"/>
      <c r="M989" s="234"/>
      <c r="N989" s="234"/>
      <c r="O989" s="238"/>
      <c r="P989" s="234"/>
      <c r="Q989" s="234"/>
      <c r="R989" s="234"/>
      <c r="S989" s="234"/>
    </row>
    <row r="990">
      <c r="A990" s="234"/>
      <c r="B990" s="234"/>
      <c r="C990" s="236"/>
      <c r="D990" s="234"/>
      <c r="E990" s="234"/>
      <c r="F990" s="234"/>
      <c r="G990" s="234"/>
      <c r="H990" s="234"/>
      <c r="I990" s="234"/>
      <c r="J990" s="234"/>
      <c r="K990" s="234"/>
      <c r="M990" s="234"/>
      <c r="N990" s="234"/>
      <c r="O990" s="238"/>
      <c r="P990" s="234"/>
      <c r="Q990" s="234"/>
      <c r="R990" s="234"/>
      <c r="S990" s="234"/>
    </row>
    <row r="991">
      <c r="A991" s="234"/>
      <c r="B991" s="234"/>
      <c r="C991" s="236"/>
      <c r="D991" s="234"/>
      <c r="E991" s="234"/>
      <c r="F991" s="234"/>
      <c r="G991" s="234"/>
      <c r="H991" s="234"/>
      <c r="I991" s="234"/>
      <c r="J991" s="234"/>
      <c r="K991" s="234"/>
      <c r="M991" s="234"/>
      <c r="N991" s="234"/>
      <c r="O991" s="238"/>
      <c r="P991" s="234"/>
      <c r="Q991" s="234"/>
      <c r="R991" s="234"/>
      <c r="S991" s="234"/>
    </row>
    <row r="992">
      <c r="A992" s="234"/>
      <c r="B992" s="234"/>
      <c r="C992" s="236"/>
      <c r="D992" s="234"/>
      <c r="E992" s="234"/>
      <c r="F992" s="234"/>
      <c r="G992" s="234"/>
      <c r="H992" s="234"/>
      <c r="I992" s="234"/>
      <c r="J992" s="234"/>
      <c r="K992" s="234"/>
      <c r="M992" s="234"/>
      <c r="N992" s="234"/>
      <c r="O992" s="238"/>
      <c r="P992" s="234"/>
      <c r="Q992" s="234"/>
      <c r="R992" s="234"/>
      <c r="S992" s="234"/>
    </row>
    <row r="993">
      <c r="A993" s="234"/>
      <c r="B993" s="234"/>
      <c r="C993" s="236"/>
      <c r="D993" s="234"/>
      <c r="E993" s="234"/>
      <c r="F993" s="234"/>
      <c r="G993" s="234"/>
      <c r="H993" s="234"/>
      <c r="I993" s="234"/>
      <c r="J993" s="234"/>
      <c r="K993" s="234"/>
      <c r="M993" s="234"/>
      <c r="N993" s="234"/>
      <c r="O993" s="238"/>
      <c r="P993" s="234"/>
      <c r="Q993" s="234"/>
      <c r="R993" s="234"/>
      <c r="S993" s="234"/>
    </row>
    <row r="994">
      <c r="A994" s="234"/>
      <c r="B994" s="234"/>
      <c r="C994" s="236"/>
      <c r="D994" s="234"/>
      <c r="E994" s="234"/>
      <c r="F994" s="234"/>
      <c r="G994" s="234"/>
      <c r="H994" s="234"/>
      <c r="I994" s="234"/>
      <c r="J994" s="234"/>
      <c r="K994" s="234"/>
      <c r="M994" s="234"/>
      <c r="N994" s="234"/>
      <c r="O994" s="238"/>
      <c r="P994" s="234"/>
      <c r="Q994" s="234"/>
      <c r="R994" s="234"/>
      <c r="S994" s="234"/>
    </row>
    <row r="995">
      <c r="A995" s="234"/>
      <c r="B995" s="234"/>
      <c r="C995" s="236"/>
      <c r="D995" s="234"/>
      <c r="E995" s="234"/>
      <c r="F995" s="234"/>
      <c r="G995" s="234"/>
      <c r="H995" s="234"/>
      <c r="I995" s="234"/>
      <c r="J995" s="234"/>
      <c r="K995" s="234"/>
      <c r="M995" s="234"/>
      <c r="N995" s="234"/>
      <c r="O995" s="238"/>
      <c r="P995" s="234"/>
      <c r="Q995" s="234"/>
      <c r="R995" s="234"/>
      <c r="S995" s="234"/>
    </row>
    <row r="996">
      <c r="M996" s="234"/>
      <c r="N996" s="234"/>
      <c r="O996" s="238"/>
      <c r="P996" s="234"/>
      <c r="Q996" s="234"/>
      <c r="R996" s="234"/>
      <c r="S996" s="234"/>
    </row>
    <row r="997">
      <c r="M997" s="234"/>
      <c r="N997" s="234"/>
      <c r="O997" s="238"/>
      <c r="P997" s="234"/>
      <c r="Q997" s="234"/>
      <c r="R997" s="234"/>
      <c r="S997" s="234"/>
    </row>
    <row r="998">
      <c r="M998" s="234"/>
      <c r="N998" s="234"/>
      <c r="O998" s="238"/>
      <c r="P998" s="234"/>
      <c r="Q998" s="234"/>
      <c r="R998" s="234"/>
      <c r="S998" s="234"/>
    </row>
    <row r="999">
      <c r="M999" s="234"/>
      <c r="N999" s="234"/>
      <c r="O999" s="238"/>
      <c r="P999" s="234"/>
      <c r="Q999" s="234"/>
      <c r="R999" s="234"/>
      <c r="S999" s="234"/>
    </row>
    <row r="1000">
      <c r="M1000" s="234"/>
      <c r="N1000" s="234"/>
      <c r="O1000" s="238"/>
      <c r="P1000" s="234"/>
      <c r="Q1000" s="234"/>
      <c r="R1000" s="234"/>
      <c r="S1000" s="234"/>
    </row>
    <row r="1001">
      <c r="M1001" s="234"/>
      <c r="N1001" s="234"/>
      <c r="O1001" s="238"/>
      <c r="P1001" s="234"/>
      <c r="Q1001" s="234"/>
      <c r="R1001" s="234"/>
      <c r="S1001" s="234"/>
    </row>
    <row r="1002">
      <c r="M1002" s="234"/>
      <c r="N1002" s="234"/>
      <c r="O1002" s="238"/>
      <c r="P1002" s="234"/>
      <c r="Q1002" s="234"/>
      <c r="R1002" s="234"/>
      <c r="S1002" s="234"/>
    </row>
    <row r="1003">
      <c r="M1003" s="234"/>
      <c r="N1003" s="234"/>
      <c r="O1003" s="238"/>
      <c r="P1003" s="234"/>
      <c r="Q1003" s="234"/>
      <c r="R1003" s="234"/>
      <c r="S1003" s="234"/>
    </row>
    <row r="1004">
      <c r="M1004" s="234"/>
      <c r="N1004" s="234"/>
      <c r="O1004" s="238"/>
      <c r="P1004" s="234"/>
      <c r="Q1004" s="234"/>
      <c r="R1004" s="234"/>
      <c r="S1004" s="234"/>
    </row>
    <row r="1005">
      <c r="M1005" s="234"/>
      <c r="N1005" s="234"/>
      <c r="O1005" s="238"/>
      <c r="P1005" s="234"/>
      <c r="Q1005" s="234"/>
      <c r="R1005" s="234"/>
      <c r="S1005" s="234"/>
    </row>
    <row r="1006">
      <c r="M1006" s="234"/>
      <c r="N1006" s="234"/>
      <c r="O1006" s="238"/>
      <c r="P1006" s="234"/>
      <c r="Q1006" s="234"/>
      <c r="R1006" s="234"/>
      <c r="S1006" s="234"/>
    </row>
    <row r="1007">
      <c r="M1007" s="234"/>
      <c r="N1007" s="234"/>
      <c r="O1007" s="238"/>
      <c r="P1007" s="234"/>
      <c r="Q1007" s="234"/>
      <c r="R1007" s="234"/>
      <c r="S1007" s="234"/>
    </row>
  </sheetData>
  <mergeCells count="3">
    <mergeCell ref="B1:C1"/>
    <mergeCell ref="D1:J1"/>
    <mergeCell ref="N1:O1"/>
  </mergeCells>
  <conditionalFormatting sqref="D3:D1007 E67 G67:G69 H67:H70 I67:I68 J68:J69 E69">
    <cfRule type="expression" dxfId="8" priority="1">
      <formula>$D$2=$A3</formula>
    </cfRule>
  </conditionalFormatting>
  <conditionalFormatting sqref="E3:E1007">
    <cfRule type="expression" dxfId="8" priority="2">
      <formula>$E$2=$A3</formula>
    </cfRule>
  </conditionalFormatting>
  <conditionalFormatting sqref="F3:F1007">
    <cfRule type="expression" dxfId="8" priority="3">
      <formula>$F$2=$A3</formula>
    </cfRule>
  </conditionalFormatting>
  <conditionalFormatting sqref="G3:G1007">
    <cfRule type="expression" dxfId="8" priority="4">
      <formula>$G$2=$A3</formula>
    </cfRule>
  </conditionalFormatting>
  <conditionalFormatting sqref="H3:H1007">
    <cfRule type="expression" dxfId="8" priority="5">
      <formula>$H$2=$A3</formula>
    </cfRule>
  </conditionalFormatting>
  <conditionalFormatting sqref="I3:I1007">
    <cfRule type="expression" dxfId="8" priority="6">
      <formula>$I$2=$A3</formula>
    </cfRule>
  </conditionalFormatting>
  <conditionalFormatting sqref="J3:J1007">
    <cfRule type="expression" dxfId="8" priority="7">
      <formula>$J$2=$A3</formula>
    </cfRule>
  </conditionalFormatting>
  <conditionalFormatting sqref="K1:K1007">
    <cfRule type="cellIs" dxfId="9" priority="8" operator="equal">
      <formula>"Passed"</formula>
    </cfRule>
  </conditionalFormatting>
  <conditionalFormatting sqref="K1:K1007">
    <cfRule type="cellIs" dxfId="10" priority="9" operator="equal">
      <formula>"Failed"</formula>
    </cfRule>
  </conditionalFormatting>
  <conditionalFormatting sqref="M1:S1007">
    <cfRule type="expression" dxfId="11" priority="10">
      <formula>$P1="Yes"</formula>
    </cfRule>
  </conditionalFormatting>
  <dataValidations>
    <dataValidation type="list" allowBlank="1" showErrorMessage="1" sqref="A3:A67 A70:A77">
      <formula1>$D$2:$J$2</formula1>
    </dataValidation>
    <dataValidation type="list" allowBlank="1" showErrorMessage="1" sqref="D3:J66 D67:I67 D68 F68:J68 D69:H69 J69 D70:J77">
      <formula1>"In Favor,Opposed,Needs Explanation"</formula1>
    </dataValidation>
  </dataValidations>
  <hyperlinks>
    <hyperlink r:id="rId1" ref="C1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11.71"/>
    <col customWidth="1" min="2" max="2" width="2.0"/>
    <col customWidth="1" min="3" max="3" width="2.29"/>
    <col customWidth="1" min="4" max="4" width="2.43"/>
    <col customWidth="1" min="5" max="5" width="2.29"/>
    <col customWidth="1" min="6" max="6" width="2.14"/>
    <col customWidth="1" min="7" max="7" width="3.0"/>
    <col customWidth="1" min="8" max="8" width="2.14"/>
    <col customWidth="1" min="9" max="9" width="25.29"/>
    <col customWidth="1" min="10" max="10" width="7.43"/>
    <col customWidth="1" min="11" max="11" width="25.29"/>
    <col customWidth="1" min="12" max="12" width="7.43"/>
    <col customWidth="1" min="13" max="13" width="30.86"/>
    <col customWidth="1" min="14" max="14" width="2.14"/>
    <col customWidth="1" min="15" max="15" width="3.0"/>
    <col customWidth="1" min="16" max="16" width="2.14"/>
    <col customWidth="1" min="17" max="17" width="2.29"/>
    <col customWidth="1" min="18" max="18" width="2.43"/>
    <col customWidth="1" min="19" max="19" width="2.29"/>
    <col customWidth="1" min="20" max="20" width="2.0"/>
    <col customWidth="1" min="22" max="22" width="7.86"/>
    <col customWidth="1" min="23" max="23" width="11.86"/>
    <col customWidth="1" min="24" max="24" width="8.71"/>
    <col customWidth="1" min="25" max="25" width="8.0"/>
    <col customWidth="1" min="26" max="26" width="6.57"/>
    <col customWidth="1" min="27" max="27" width="9.71"/>
    <col customWidth="1" min="28" max="28" width="30.86"/>
    <col customWidth="1" min="29" max="29" width="68.57"/>
    <col hidden="1" min="30" max="30" width="14.43"/>
  </cols>
  <sheetData>
    <row r="1">
      <c r="A1" s="29" t="s">
        <v>366</v>
      </c>
      <c r="V1" s="262" t="s">
        <v>367</v>
      </c>
      <c r="W1" s="262" t="s">
        <v>19</v>
      </c>
      <c r="X1" s="262" t="s">
        <v>16</v>
      </c>
      <c r="Y1" s="262" t="s">
        <v>75</v>
      </c>
      <c r="Z1" s="262" t="s">
        <v>76</v>
      </c>
      <c r="AA1" s="262" t="s">
        <v>78</v>
      </c>
      <c r="AB1" s="262" t="s">
        <v>368</v>
      </c>
      <c r="AC1" s="262" t="s">
        <v>82</v>
      </c>
      <c r="AD1" s="177"/>
      <c r="AE1" s="177"/>
    </row>
    <row r="2">
      <c r="A2" s="262" t="s">
        <v>369</v>
      </c>
      <c r="B2" s="262" t="s">
        <v>370</v>
      </c>
      <c r="C2" s="262" t="s">
        <v>371</v>
      </c>
      <c r="D2" s="262" t="s">
        <v>372</v>
      </c>
      <c r="E2" s="262" t="s">
        <v>373</v>
      </c>
      <c r="F2" s="262" t="s">
        <v>374</v>
      </c>
      <c r="G2" s="262" t="s">
        <v>51</v>
      </c>
      <c r="H2" s="29" t="s">
        <v>375</v>
      </c>
      <c r="I2" s="29" t="s">
        <v>376</v>
      </c>
      <c r="J2" s="29" t="s">
        <v>377</v>
      </c>
      <c r="K2" s="29" t="s">
        <v>21</v>
      </c>
      <c r="L2" s="29" t="s">
        <v>378</v>
      </c>
      <c r="M2" s="29" t="s">
        <v>379</v>
      </c>
      <c r="N2" s="29" t="s">
        <v>375</v>
      </c>
      <c r="O2" s="262" t="s">
        <v>51</v>
      </c>
      <c r="P2" s="262" t="s">
        <v>374</v>
      </c>
      <c r="Q2" s="262" t="s">
        <v>373</v>
      </c>
      <c r="R2" s="262" t="s">
        <v>372</v>
      </c>
      <c r="S2" s="262" t="s">
        <v>371</v>
      </c>
      <c r="T2" s="262" t="s">
        <v>370</v>
      </c>
      <c r="V2" s="263">
        <v>8.0</v>
      </c>
      <c r="W2" s="264">
        <f>IFERROR(__xludf.DUMMYFUNCTION("FILTER(Rankings!D:J, Rankings!D:D &gt;= DATE(2026,1,1), Rankings!D:D &lt; DATE(2026,2,1), Rankings!U:U = TRUE)"),46024.0)</f>
        <v>46024</v>
      </c>
      <c r="X2" s="265" t="str">
        <f>IFERROR(__xludf.DUMMYFUNCTION("""COMPUTED_VALUE"""),"TTAC")</f>
        <v>TTAC</v>
      </c>
      <c r="Y2" s="266">
        <f>IFERROR(__xludf.DUMMYFUNCTION("""COMPUTED_VALUE"""),2.6666666666666665)</f>
        <v>2.666666667</v>
      </c>
      <c r="Z2" s="266">
        <f>IFERROR(__xludf.DUMMYFUNCTION("""COMPUTED_VALUE"""),1.247219128924647)</f>
        <v>1.247219129</v>
      </c>
      <c r="AA2" s="266">
        <f>IFERROR(__xludf.DUMMYFUNCTION("""COMPUTED_VALUE"""),3.0)</f>
        <v>3</v>
      </c>
      <c r="AB2" s="265" t="str">
        <f>IFERROR(__xludf.DUMMYFUNCTION("""COMPUTED_VALUE"""),"How to Get By")</f>
        <v>How to Get By</v>
      </c>
      <c r="AC2" s="267" t="str">
        <f>IFERROR(__xludf.DUMMYFUNCTION("""COMPUTED_VALUE"""),"The Electric Sons")</f>
        <v>The Electric Sons</v>
      </c>
    </row>
    <row r="3">
      <c r="A3" s="268" t="s">
        <v>380</v>
      </c>
      <c r="B3" s="269" t="s">
        <v>381</v>
      </c>
      <c r="C3" s="270" t="s">
        <v>381</v>
      </c>
      <c r="D3" s="271" t="s">
        <v>381</v>
      </c>
      <c r="E3" s="272" t="s">
        <v>382</v>
      </c>
      <c r="F3" s="273"/>
      <c r="G3" s="274"/>
      <c r="H3" s="275"/>
      <c r="I3" s="276" t="str">
        <f>K5</f>
        <v>Please Be Rude</v>
      </c>
      <c r="J3" s="38">
        <f t="shared" ref="J3:J14" si="1">COUNTIF(B3:H3,"x")</f>
        <v>4</v>
      </c>
      <c r="K3" s="276" t="str">
        <f t="shared" ref="K3:K14" si="2">IF(J3&gt;=4,I3,IF(L3&gt;=4,M3,"TBD"))</f>
        <v>Please Be Rude</v>
      </c>
      <c r="L3" s="38">
        <f t="shared" ref="L3:L14" si="3">COUNTIF(N3:T3,"x")</f>
        <v>3</v>
      </c>
      <c r="M3" s="277" t="str">
        <f>K4</f>
        <v>So Cold</v>
      </c>
      <c r="N3" s="275" t="s">
        <v>382</v>
      </c>
      <c r="O3" s="274" t="s">
        <v>382</v>
      </c>
      <c r="P3" s="273" t="s">
        <v>382</v>
      </c>
      <c r="Q3" s="278"/>
      <c r="R3" s="271"/>
      <c r="S3" s="279"/>
      <c r="T3" s="280"/>
      <c r="V3" s="263">
        <v>5.0</v>
      </c>
      <c r="W3" s="264">
        <f>IFERROR(__xludf.DUMMYFUNCTION("""COMPUTED_VALUE"""),46027.0)</f>
        <v>46027</v>
      </c>
      <c r="X3" s="265" t="str">
        <f>IFERROR(__xludf.DUMMYFUNCTION("""COMPUTED_VALUE"""),"TTAC")</f>
        <v>TTAC</v>
      </c>
      <c r="Y3" s="266">
        <f>IFERROR(__xludf.DUMMYFUNCTION("""COMPUTED_VALUE"""),2.3333333333333335)</f>
        <v>2.333333333</v>
      </c>
      <c r="Z3" s="266">
        <f>IFERROR(__xludf.DUMMYFUNCTION("""COMPUTED_VALUE"""),1.3743685418725535)</f>
        <v>1.374368542</v>
      </c>
      <c r="AA3" s="266">
        <f>IFERROR(__xludf.DUMMYFUNCTION("""COMPUTED_VALUE"""),2.4)</f>
        <v>2.4</v>
      </c>
      <c r="AB3" s="265" t="str">
        <f>IFERROR(__xludf.DUMMYFUNCTION("""COMPUTED_VALUE"""),"Stranger Than")</f>
        <v>Stranger Than</v>
      </c>
      <c r="AC3" s="267" t="str">
        <f>IFERROR(__xludf.DUMMYFUNCTION("""COMPUTED_VALUE"""),"Coyote Theory")</f>
        <v>Coyote Theory</v>
      </c>
    </row>
    <row r="4">
      <c r="A4" s="268" t="s">
        <v>385</v>
      </c>
      <c r="B4" s="269" t="s">
        <v>381</v>
      </c>
      <c r="C4" s="279"/>
      <c r="D4" s="271"/>
      <c r="E4" s="272" t="s">
        <v>382</v>
      </c>
      <c r="F4" s="273"/>
      <c r="G4" s="274" t="s">
        <v>382</v>
      </c>
      <c r="H4" s="275" t="s">
        <v>382</v>
      </c>
      <c r="I4" s="277" t="str">
        <f t="shared" ref="I4:I5" si="4">K8</f>
        <v>So Cold</v>
      </c>
      <c r="J4" s="38">
        <f t="shared" si="1"/>
        <v>4</v>
      </c>
      <c r="K4" s="277" t="str">
        <f t="shared" si="2"/>
        <v>So Cold</v>
      </c>
      <c r="L4" s="38">
        <f t="shared" si="3"/>
        <v>3</v>
      </c>
      <c r="M4" s="281" t="str">
        <f>K7</f>
        <v>Add Up My Love</v>
      </c>
      <c r="N4" s="275"/>
      <c r="O4" s="274"/>
      <c r="P4" s="273" t="s">
        <v>382</v>
      </c>
      <c r="Q4" s="272"/>
      <c r="R4" s="271" t="s">
        <v>381</v>
      </c>
      <c r="S4" s="270" t="s">
        <v>381</v>
      </c>
      <c r="T4" s="280"/>
      <c r="V4" s="263">
        <v>2.0</v>
      </c>
      <c r="W4" s="264">
        <f>IFERROR(__xludf.DUMMYFUNCTION("""COMPUTED_VALUE"""),46029.0)</f>
        <v>46029</v>
      </c>
      <c r="X4" s="265" t="str">
        <f>IFERROR(__xludf.DUMMYFUNCTION("""COMPUTED_VALUE"""),"Logan")</f>
        <v>Logan</v>
      </c>
      <c r="Y4" s="266">
        <f>IFERROR(__xludf.DUMMYFUNCTION("""COMPUTED_VALUE"""),1.6666666666666667)</f>
        <v>1.666666667</v>
      </c>
      <c r="Z4" s="266">
        <f>IFERROR(__xludf.DUMMYFUNCTION("""COMPUTED_VALUE"""),0.7453559924999298)</f>
        <v>0.7453559925</v>
      </c>
      <c r="AA4" s="266">
        <f>IFERROR(__xludf.DUMMYFUNCTION("""COMPUTED_VALUE"""),1.8)</f>
        <v>1.8</v>
      </c>
      <c r="AB4" s="265" t="str">
        <f>IFERROR(__xludf.DUMMYFUNCTION("""COMPUTED_VALUE"""),"Feel It (From ""Incincible""")</f>
        <v>Feel It (From "Incincible"</v>
      </c>
      <c r="AC4" s="267" t="str">
        <f>IFERROR(__xludf.DUMMYFUNCTION("""COMPUTED_VALUE"""),"d4vd")</f>
        <v>d4vd</v>
      </c>
    </row>
    <row r="5">
      <c r="A5" s="268" t="s">
        <v>389</v>
      </c>
      <c r="B5" s="280"/>
      <c r="C5" s="270" t="s">
        <v>381</v>
      </c>
      <c r="D5" s="271" t="s">
        <v>381</v>
      </c>
      <c r="E5" s="272" t="s">
        <v>382</v>
      </c>
      <c r="F5" s="273" t="s">
        <v>382</v>
      </c>
      <c r="G5" s="274" t="s">
        <v>382</v>
      </c>
      <c r="H5" s="275" t="s">
        <v>382</v>
      </c>
      <c r="I5" s="276" t="str">
        <f t="shared" si="4"/>
        <v>Please Be Rude</v>
      </c>
      <c r="J5" s="38">
        <f t="shared" si="1"/>
        <v>6</v>
      </c>
      <c r="K5" s="276" t="str">
        <f t="shared" si="2"/>
        <v>Please Be Rude</v>
      </c>
      <c r="L5" s="38">
        <f t="shared" si="3"/>
        <v>1</v>
      </c>
      <c r="M5" s="281" t="str">
        <f>K6</f>
        <v>BELLAKEO</v>
      </c>
      <c r="N5" s="275"/>
      <c r="O5" s="274"/>
      <c r="P5" s="282"/>
      <c r="Q5" s="278"/>
      <c r="R5" s="283"/>
      <c r="S5" s="279"/>
      <c r="T5" s="269" t="s">
        <v>381</v>
      </c>
      <c r="V5" s="263">
        <v>3.0</v>
      </c>
      <c r="W5" s="264">
        <f>IFERROR(__xludf.DUMMYFUNCTION("""COMPUTED_VALUE"""),46031.0)</f>
        <v>46031</v>
      </c>
      <c r="X5" s="265" t="str">
        <f>IFERROR(__xludf.DUMMYFUNCTION("""COMPUTED_VALUE"""),"Rosey")</f>
        <v>Rosey</v>
      </c>
      <c r="Y5" s="266">
        <f>IFERROR(__xludf.DUMMYFUNCTION("""COMPUTED_VALUE"""),1.8333333333333333)</f>
        <v>1.833333333</v>
      </c>
      <c r="Z5" s="266">
        <f>IFERROR(__xludf.DUMMYFUNCTION("""COMPUTED_VALUE"""),1.0671873729054748)</f>
        <v>1.067187373</v>
      </c>
      <c r="AA5" s="266">
        <f>IFERROR(__xludf.DUMMYFUNCTION("""COMPUTED_VALUE"""),2.0)</f>
        <v>2</v>
      </c>
      <c r="AB5" s="265" t="str">
        <f>IFERROR(__xludf.DUMMYFUNCTION("""COMPUTED_VALUE"""),"Who Dat Girl (feat. Akon)")</f>
        <v>Who Dat Girl (feat. Akon)</v>
      </c>
      <c r="AC5" s="267" t="str">
        <f>IFERROR(__xludf.DUMMYFUNCTION("""COMPUTED_VALUE"""),"Flo Rida, Akon")</f>
        <v>Flo Rida, Akon</v>
      </c>
    </row>
    <row r="6">
      <c r="A6" s="39" t="s">
        <v>390</v>
      </c>
      <c r="B6" s="280"/>
      <c r="C6" s="279"/>
      <c r="D6" s="283"/>
      <c r="E6" s="272" t="s">
        <v>382</v>
      </c>
      <c r="F6" s="273" t="s">
        <v>382</v>
      </c>
      <c r="G6" s="284"/>
      <c r="H6" s="275" t="s">
        <v>382</v>
      </c>
      <c r="I6" s="276" t="str">
        <f>K14</f>
        <v>Time</v>
      </c>
      <c r="J6" s="38">
        <f t="shared" si="1"/>
        <v>3</v>
      </c>
      <c r="K6" s="281" t="str">
        <f t="shared" si="2"/>
        <v>BELLAKEO</v>
      </c>
      <c r="L6" s="38">
        <f t="shared" si="3"/>
        <v>4</v>
      </c>
      <c r="M6" s="281" t="str">
        <f>K13</f>
        <v>BELLAKEO</v>
      </c>
      <c r="N6" s="275"/>
      <c r="O6" s="274" t="s">
        <v>382</v>
      </c>
      <c r="P6" s="273"/>
      <c r="Q6" s="278"/>
      <c r="R6" s="271" t="s">
        <v>381</v>
      </c>
      <c r="S6" s="270" t="s">
        <v>381</v>
      </c>
      <c r="T6" s="269" t="s">
        <v>381</v>
      </c>
      <c r="V6" s="263">
        <v>12.0</v>
      </c>
      <c r="W6" s="264">
        <f>IFERROR(__xludf.DUMMYFUNCTION("""COMPUTED_VALUE"""),46034.0)</f>
        <v>46034</v>
      </c>
      <c r="X6" s="265" t="str">
        <f>IFERROR(__xludf.DUMMYFUNCTION("""COMPUTED_VALUE"""),"Parker")</f>
        <v>Parker</v>
      </c>
      <c r="Y6" s="266">
        <f>IFERROR(__xludf.DUMMYFUNCTION("""COMPUTED_VALUE"""),3.0)</f>
        <v>3</v>
      </c>
      <c r="Z6" s="266">
        <f>IFERROR(__xludf.DUMMYFUNCTION("""COMPUTED_VALUE"""),1.7320508075688772)</f>
        <v>1.732050808</v>
      </c>
      <c r="AA6" s="266">
        <f>IFERROR(__xludf.DUMMYFUNCTION("""COMPUTED_VALUE"""),3.4)</f>
        <v>3.4</v>
      </c>
      <c r="AB6" s="265" t="str">
        <f>IFERROR(__xludf.DUMMYFUNCTION("""COMPUTED_VALUE"""),"BELLAKEO")</f>
        <v>BELLAKEO</v>
      </c>
      <c r="AC6" s="267" t="str">
        <f>IFERROR(__xludf.DUMMYFUNCTION("""COMPUTED_VALUE"""),"Peso Pluma, Anitta")</f>
        <v>Peso Pluma, Anitta</v>
      </c>
    </row>
    <row r="7">
      <c r="A7" s="39" t="s">
        <v>393</v>
      </c>
      <c r="B7" s="269" t="s">
        <v>381</v>
      </c>
      <c r="C7" s="270"/>
      <c r="D7" s="283"/>
      <c r="E7" s="272"/>
      <c r="F7" s="273"/>
      <c r="G7" s="274"/>
      <c r="H7" s="275" t="s">
        <v>382</v>
      </c>
      <c r="I7" s="285" t="s">
        <v>144</v>
      </c>
      <c r="J7" s="38">
        <f t="shared" si="1"/>
        <v>2</v>
      </c>
      <c r="K7" s="281" t="str">
        <f t="shared" si="2"/>
        <v>Add Up My Love</v>
      </c>
      <c r="L7" s="38">
        <f t="shared" si="3"/>
        <v>4</v>
      </c>
      <c r="M7" s="281" t="str">
        <f>K12</f>
        <v>Add Up My Love</v>
      </c>
      <c r="N7" s="286"/>
      <c r="O7" s="274" t="s">
        <v>382</v>
      </c>
      <c r="P7" s="273" t="s">
        <v>382</v>
      </c>
      <c r="Q7" s="278"/>
      <c r="R7" s="271" t="s">
        <v>381</v>
      </c>
      <c r="S7" s="270" t="s">
        <v>381</v>
      </c>
      <c r="T7" s="269"/>
      <c r="V7" s="263">
        <v>9.0</v>
      </c>
      <c r="W7" s="264">
        <f>IFERROR(__xludf.DUMMYFUNCTION("""COMPUTED_VALUE"""),46036.0)</f>
        <v>46036</v>
      </c>
      <c r="X7" s="265" t="str">
        <f>IFERROR(__xludf.DUMMYFUNCTION("""COMPUTED_VALUE"""),"Logan")</f>
        <v>Logan</v>
      </c>
      <c r="Y7" s="266">
        <f>IFERROR(__xludf.DUMMYFUNCTION("""COMPUTED_VALUE"""),2.6666666666666665)</f>
        <v>2.666666667</v>
      </c>
      <c r="Z7" s="266">
        <f>IFERROR(__xludf.DUMMYFUNCTION("""COMPUTED_VALUE"""),1.247219128924647)</f>
        <v>1.247219129</v>
      </c>
      <c r="AA7" s="266">
        <f>IFERROR(__xludf.DUMMYFUNCTION("""COMPUTED_VALUE"""),3.0)</f>
        <v>3</v>
      </c>
      <c r="AB7" s="265" t="str">
        <f>IFERROR(__xludf.DUMMYFUNCTION("""COMPUTED_VALUE"""),"Demons (feat. Denzel Curry)")</f>
        <v>Demons (feat. Denzel Curry)</v>
      </c>
      <c r="AC7" s="267" t="str">
        <f>IFERROR(__xludf.DUMMYFUNCTION("""COMPUTED_VALUE"""),"A$AP Ferg, Denzel Curry")</f>
        <v>A$AP Ferg, Denzel Curry</v>
      </c>
    </row>
    <row r="8">
      <c r="A8" s="39" t="s">
        <v>394</v>
      </c>
      <c r="B8" s="269" t="s">
        <v>381</v>
      </c>
      <c r="C8" s="279"/>
      <c r="D8" s="283"/>
      <c r="E8" s="272" t="s">
        <v>382</v>
      </c>
      <c r="F8" s="273"/>
      <c r="G8" s="274" t="s">
        <v>382</v>
      </c>
      <c r="H8" s="275"/>
      <c r="I8" s="287" t="s">
        <v>395</v>
      </c>
      <c r="J8" s="38">
        <f t="shared" si="1"/>
        <v>3</v>
      </c>
      <c r="K8" s="277" t="str">
        <f t="shared" si="2"/>
        <v>So Cold</v>
      </c>
      <c r="L8" s="38">
        <f t="shared" si="3"/>
        <v>4</v>
      </c>
      <c r="M8" s="277" t="str">
        <f>K11</f>
        <v>So Cold</v>
      </c>
      <c r="N8" s="275" t="s">
        <v>382</v>
      </c>
      <c r="O8" s="284"/>
      <c r="P8" s="273" t="s">
        <v>382</v>
      </c>
      <c r="Q8" s="272"/>
      <c r="R8" s="271" t="s">
        <v>381</v>
      </c>
      <c r="S8" s="270" t="s">
        <v>381</v>
      </c>
      <c r="T8" s="280"/>
      <c r="V8" s="263">
        <v>10.0</v>
      </c>
      <c r="W8" s="264">
        <f>IFERROR(__xludf.DUMMYFUNCTION("""COMPUTED_VALUE"""),46038.0)</f>
        <v>46038</v>
      </c>
      <c r="X8" s="265" t="str">
        <f>IFERROR(__xludf.DUMMYFUNCTION("""COMPUTED_VALUE"""),"Parker")</f>
        <v>Parker</v>
      </c>
      <c r="Y8" s="266">
        <f>IFERROR(__xludf.DUMMYFUNCTION("""COMPUTED_VALUE"""),2.6666666666666665)</f>
        <v>2.666666667</v>
      </c>
      <c r="Z8" s="266">
        <f>IFERROR(__xludf.DUMMYFUNCTION("""COMPUTED_VALUE"""),1.7950549357115013)</f>
        <v>1.795054936</v>
      </c>
      <c r="AA8" s="266">
        <f>IFERROR(__xludf.DUMMYFUNCTION("""COMPUTED_VALUE"""),3.0)</f>
        <v>3</v>
      </c>
      <c r="AB8" s="265" t="str">
        <f>IFERROR(__xludf.DUMMYFUNCTION("""COMPUTED_VALUE"""),"COQUETA")</f>
        <v>COQUETA</v>
      </c>
      <c r="AC8" s="267" t="str">
        <f>IFERROR(__xludf.DUMMYFUNCTION("""COMPUTED_VALUE"""),"Fuerzo Regida, Grupo Frontera")</f>
        <v>Fuerzo Regida, Grupo Frontera</v>
      </c>
    </row>
    <row r="9">
      <c r="A9" s="39" t="s">
        <v>398</v>
      </c>
      <c r="B9" s="269"/>
      <c r="C9" s="270" t="s">
        <v>381</v>
      </c>
      <c r="D9" s="271" t="s">
        <v>381</v>
      </c>
      <c r="E9" s="272"/>
      <c r="F9" s="273" t="s">
        <v>382</v>
      </c>
      <c r="G9" s="274" t="s">
        <v>382</v>
      </c>
      <c r="H9" s="286"/>
      <c r="I9" s="285" t="s">
        <v>399</v>
      </c>
      <c r="J9" s="38">
        <f t="shared" si="1"/>
        <v>4</v>
      </c>
      <c r="K9" s="276" t="str">
        <f t="shared" si="2"/>
        <v>Please Be Rude</v>
      </c>
      <c r="L9" s="38">
        <f t="shared" si="3"/>
        <v>2</v>
      </c>
      <c r="M9" s="288" t="str">
        <f>K10</f>
        <v>Demons</v>
      </c>
      <c r="N9" s="275" t="s">
        <v>382</v>
      </c>
      <c r="O9" s="284"/>
      <c r="P9" s="282"/>
      <c r="Q9" s="278"/>
      <c r="R9" s="271"/>
      <c r="S9" s="279"/>
      <c r="T9" s="269" t="s">
        <v>381</v>
      </c>
      <c r="V9" s="263">
        <v>1.0</v>
      </c>
      <c r="W9" s="264">
        <f>IFERROR(__xludf.DUMMYFUNCTION("""COMPUTED_VALUE"""),46041.0)</f>
        <v>46041</v>
      </c>
      <c r="X9" s="265" t="str">
        <f>IFERROR(__xludf.DUMMYFUNCTION("""COMPUTED_VALUE"""),"Rosey")</f>
        <v>Rosey</v>
      </c>
      <c r="Y9" s="266">
        <f>IFERROR(__xludf.DUMMYFUNCTION("""COMPUTED_VALUE"""),1.3333333333333333)</f>
        <v>1.333333333</v>
      </c>
      <c r="Z9" s="266">
        <f>IFERROR(__xludf.DUMMYFUNCTION("""COMPUTED_VALUE"""),0.7453559924999299)</f>
        <v>0.7453559925</v>
      </c>
      <c r="AA9" s="266">
        <f>IFERROR(__xludf.DUMMYFUNCTION("""COMPUTED_VALUE"""),1.4)</f>
        <v>1.4</v>
      </c>
      <c r="AB9" s="265" t="str">
        <f>IFERROR(__xludf.DUMMYFUNCTION("""COMPUTED_VALUE"""),"Please Be Rude")</f>
        <v>Please Be Rude</v>
      </c>
      <c r="AC9" s="267" t="str">
        <f>IFERROR(__xludf.DUMMYFUNCTION("""COMPUTED_VALUE"""),"Gigi Perez")</f>
        <v>Gigi Perez</v>
      </c>
    </row>
    <row r="10">
      <c r="A10" s="289" t="s">
        <v>400</v>
      </c>
      <c r="B10" s="269"/>
      <c r="C10" s="279"/>
      <c r="D10" s="283"/>
      <c r="E10" s="272"/>
      <c r="F10" s="273" t="s">
        <v>382</v>
      </c>
      <c r="G10" s="274"/>
      <c r="H10" s="275"/>
      <c r="I10" s="290" t="s">
        <v>401</v>
      </c>
      <c r="J10" s="38">
        <f t="shared" si="1"/>
        <v>1</v>
      </c>
      <c r="K10" s="288" t="str">
        <f t="shared" si="2"/>
        <v>Demons</v>
      </c>
      <c r="L10" s="38">
        <f t="shared" si="3"/>
        <v>6</v>
      </c>
      <c r="M10" s="287" t="s">
        <v>402</v>
      </c>
      <c r="N10" s="275" t="s">
        <v>382</v>
      </c>
      <c r="O10" s="274" t="s">
        <v>382</v>
      </c>
      <c r="P10" s="273"/>
      <c r="Q10" s="272" t="s">
        <v>382</v>
      </c>
      <c r="R10" s="271" t="s">
        <v>381</v>
      </c>
      <c r="S10" s="270" t="s">
        <v>381</v>
      </c>
      <c r="T10" s="269" t="s">
        <v>381</v>
      </c>
      <c r="V10" s="263">
        <v>6.0</v>
      </c>
      <c r="W10" s="264">
        <f>IFERROR(__xludf.DUMMYFUNCTION("""COMPUTED_VALUE"""),46043.0)</f>
        <v>46043</v>
      </c>
      <c r="X10" s="265" t="str">
        <f>IFERROR(__xludf.DUMMYFUNCTION("""COMPUTED_VALUE"""),"Weston")</f>
        <v>Weston</v>
      </c>
      <c r="Y10" s="266">
        <f>IFERROR(__xludf.DUMMYFUNCTION("""COMPUTED_VALUE"""),2.3333333333333335)</f>
        <v>2.333333333</v>
      </c>
      <c r="Z10" s="266">
        <f>IFERROR(__xludf.DUMMYFUNCTION("""COMPUTED_VALUE"""),1.7950549357115015)</f>
        <v>1.795054936</v>
      </c>
      <c r="AA10" s="266">
        <f>IFERROR(__xludf.DUMMYFUNCTION("""COMPUTED_VALUE"""),2.6)</f>
        <v>2.6</v>
      </c>
      <c r="AB10" s="265" t="str">
        <f>IFERROR(__xludf.DUMMYFUNCTION("""COMPUTED_VALUE"""),"The Difference")</f>
        <v>The Difference</v>
      </c>
      <c r="AC10" s="267" t="str">
        <f>IFERROR(__xludf.DUMMYFUNCTION("""COMPUTED_VALUE"""),"Flume, Toro y Moi")</f>
        <v>Flume, Toro y Moi</v>
      </c>
    </row>
    <row r="11">
      <c r="A11" s="289" t="s">
        <v>403</v>
      </c>
      <c r="B11" s="269" t="s">
        <v>381</v>
      </c>
      <c r="C11" s="270"/>
      <c r="D11" s="271"/>
      <c r="E11" s="272" t="s">
        <v>382</v>
      </c>
      <c r="F11" s="273" t="s">
        <v>382</v>
      </c>
      <c r="G11" s="274" t="s">
        <v>382</v>
      </c>
      <c r="H11" s="275" t="s">
        <v>382</v>
      </c>
      <c r="I11" s="291" t="s">
        <v>404</v>
      </c>
      <c r="J11" s="38">
        <f t="shared" si="1"/>
        <v>5</v>
      </c>
      <c r="K11" s="277" t="str">
        <f t="shared" si="2"/>
        <v>So Cold</v>
      </c>
      <c r="L11" s="38">
        <f t="shared" si="3"/>
        <v>2</v>
      </c>
      <c r="M11" s="292" t="s">
        <v>407</v>
      </c>
      <c r="N11" s="286"/>
      <c r="O11" s="284"/>
      <c r="P11" s="282"/>
      <c r="Q11" s="278"/>
      <c r="R11" s="271" t="s">
        <v>381</v>
      </c>
      <c r="S11" s="270" t="s">
        <v>381</v>
      </c>
      <c r="T11" s="269"/>
      <c r="V11" s="263">
        <v>4.0</v>
      </c>
      <c r="W11" s="264">
        <f>IFERROR(__xludf.DUMMYFUNCTION("""COMPUTED_VALUE"""),46045.0)</f>
        <v>46045</v>
      </c>
      <c r="X11" s="265" t="str">
        <f>IFERROR(__xludf.DUMMYFUNCTION("""COMPUTED_VALUE"""),"Rosey")</f>
        <v>Rosey</v>
      </c>
      <c r="Y11" s="266">
        <f>IFERROR(__xludf.DUMMYFUNCTION("""COMPUTED_VALUE"""),2.0)</f>
        <v>2</v>
      </c>
      <c r="Z11" s="266">
        <f>IFERROR(__xludf.DUMMYFUNCTION("""COMPUTED_VALUE"""),0.5773502691896257)</f>
        <v>0.5773502692</v>
      </c>
      <c r="AA11" s="266">
        <f>IFERROR(__xludf.DUMMYFUNCTION("""COMPUTED_VALUE"""),2.0)</f>
        <v>2</v>
      </c>
      <c r="AB11" s="265" t="str">
        <f>IFERROR(__xludf.DUMMYFUNCTION("""COMPUTED_VALUE"""),"Time")</f>
        <v>Time</v>
      </c>
      <c r="AC11" s="267" t="str">
        <f>IFERROR(__xludf.DUMMYFUNCTION("""COMPUTED_VALUE"""),"Hans Zimmer")</f>
        <v>Hans Zimmer</v>
      </c>
    </row>
    <row r="12">
      <c r="A12" s="289" t="s">
        <v>409</v>
      </c>
      <c r="B12" s="269" t="s">
        <v>381</v>
      </c>
      <c r="C12" s="279"/>
      <c r="D12" s="283"/>
      <c r="E12" s="272"/>
      <c r="F12" s="282"/>
      <c r="G12" s="274" t="s">
        <v>382</v>
      </c>
      <c r="H12" s="275"/>
      <c r="I12" s="293" t="s">
        <v>410</v>
      </c>
      <c r="J12" s="38">
        <f t="shared" si="1"/>
        <v>2</v>
      </c>
      <c r="K12" s="281" t="str">
        <f t="shared" si="2"/>
        <v>Add Up My Love</v>
      </c>
      <c r="L12" s="38">
        <f t="shared" si="3"/>
        <v>5</v>
      </c>
      <c r="M12" s="292" t="s">
        <v>411</v>
      </c>
      <c r="N12" s="275" t="s">
        <v>382</v>
      </c>
      <c r="O12" s="284"/>
      <c r="P12" s="273" t="s">
        <v>382</v>
      </c>
      <c r="Q12" s="272" t="s">
        <v>382</v>
      </c>
      <c r="R12" s="271" t="s">
        <v>381</v>
      </c>
      <c r="S12" s="270" t="s">
        <v>381</v>
      </c>
      <c r="T12" s="280"/>
      <c r="V12" s="294">
        <v>7.0</v>
      </c>
      <c r="W12" s="295">
        <f>IFERROR(__xludf.DUMMYFUNCTION("""COMPUTED_VALUE"""),46048.0)</f>
        <v>46048</v>
      </c>
      <c r="X12" s="296" t="str">
        <f>IFERROR(__xludf.DUMMYFUNCTION("""COMPUTED_VALUE"""),"Flocco")</f>
        <v>Flocco</v>
      </c>
      <c r="Y12" s="297">
        <f>IFERROR(__xludf.DUMMYFUNCTION("""COMPUTED_VALUE"""),2.4285714285714284)</f>
        <v>2.428571429</v>
      </c>
      <c r="Z12" s="297">
        <f>IFERROR(__xludf.DUMMYFUNCTION("""COMPUTED_VALUE"""),1.6781914463529615)</f>
        <v>1.678191446</v>
      </c>
      <c r="AA12" s="297">
        <f>IFERROR(__xludf.DUMMYFUNCTION("""COMPUTED_VALUE"""),2.6666666666666665)</f>
        <v>2.666666667</v>
      </c>
      <c r="AB12" s="296" t="str">
        <f>IFERROR(__xludf.DUMMYFUNCTION("""COMPUTED_VALUE"""),"So Cold")</f>
        <v>So Cold</v>
      </c>
      <c r="AC12" s="299" t="str">
        <f>IFERROR(__xludf.DUMMYFUNCTION("""COMPUTED_VALUE"""),"Balu Brigada")</f>
        <v>Balu Brigada</v>
      </c>
    </row>
    <row r="13">
      <c r="A13" s="289" t="s">
        <v>413</v>
      </c>
      <c r="B13" s="269"/>
      <c r="C13" s="270"/>
      <c r="D13" s="271"/>
      <c r="E13" s="272"/>
      <c r="F13" s="273" t="s">
        <v>382</v>
      </c>
      <c r="G13" s="274"/>
      <c r="H13" s="275" t="s">
        <v>382</v>
      </c>
      <c r="I13" s="290" t="s">
        <v>414</v>
      </c>
      <c r="J13" s="38">
        <f t="shared" si="1"/>
        <v>2</v>
      </c>
      <c r="K13" s="281" t="str">
        <f t="shared" si="2"/>
        <v>BELLAKEO</v>
      </c>
      <c r="L13" s="38">
        <f t="shared" si="3"/>
        <v>5</v>
      </c>
      <c r="M13" s="292" t="s">
        <v>415</v>
      </c>
      <c r="N13" s="286"/>
      <c r="O13" s="274" t="s">
        <v>382</v>
      </c>
      <c r="P13" s="282"/>
      <c r="Q13" s="272" t="s">
        <v>382</v>
      </c>
      <c r="R13" s="271" t="s">
        <v>381</v>
      </c>
      <c r="S13" s="270" t="s">
        <v>381</v>
      </c>
      <c r="T13" s="269" t="s">
        <v>381</v>
      </c>
      <c r="V13" s="263">
        <v>11.0</v>
      </c>
      <c r="W13" s="264">
        <f>IFERROR(__xludf.DUMMYFUNCTION("""COMPUTED_VALUE"""),46050.0)</f>
        <v>46050</v>
      </c>
      <c r="X13" s="265" t="str">
        <f>IFERROR(__xludf.DUMMYFUNCTION("""COMPUTED_VALUE"""),"Parker")</f>
        <v>Parker</v>
      </c>
      <c r="Y13" s="266">
        <f>IFERROR(__xludf.DUMMYFUNCTION("""COMPUTED_VALUE"""),2.857142857142857)</f>
        <v>2.857142857</v>
      </c>
      <c r="Z13" s="266">
        <f>IFERROR(__xludf.DUMMYFUNCTION("""COMPUTED_VALUE"""),2.2314999074019015)</f>
        <v>2.231499907</v>
      </c>
      <c r="AA13" s="266">
        <f>IFERROR(__xludf.DUMMYFUNCTION("""COMPUTED_VALUE"""),3.1666666666666665)</f>
        <v>3.166666667</v>
      </c>
      <c r="AB13" s="265" t="str">
        <f>IFERROR(__xludf.DUMMYFUNCTION("""COMPUTED_VALUE"""),"Add Up My Love")</f>
        <v>Add Up My Love</v>
      </c>
      <c r="AC13" s="267" t="str">
        <f>IFERROR(__xludf.DUMMYFUNCTION("""COMPUTED_VALUE"""),"Clairo")</f>
        <v>Clairo</v>
      </c>
    </row>
    <row r="14">
      <c r="A14" s="289" t="s">
        <v>418</v>
      </c>
      <c r="B14" s="269" t="s">
        <v>381</v>
      </c>
      <c r="C14" s="270" t="s">
        <v>381</v>
      </c>
      <c r="D14" s="271" t="s">
        <v>381</v>
      </c>
      <c r="E14" s="272" t="s">
        <v>382</v>
      </c>
      <c r="F14" s="273"/>
      <c r="G14" s="274"/>
      <c r="H14" s="275"/>
      <c r="I14" s="285" t="s">
        <v>113</v>
      </c>
      <c r="J14" s="38">
        <f t="shared" si="1"/>
        <v>4</v>
      </c>
      <c r="K14" s="276" t="str">
        <f t="shared" si="2"/>
        <v>Time</v>
      </c>
      <c r="L14" s="38">
        <f t="shared" si="3"/>
        <v>3</v>
      </c>
      <c r="M14" s="291" t="s">
        <v>419</v>
      </c>
      <c r="N14" s="275" t="s">
        <v>382</v>
      </c>
      <c r="O14" s="274" t="s">
        <v>382</v>
      </c>
      <c r="P14" s="273" t="s">
        <v>382</v>
      </c>
      <c r="Q14" s="272"/>
      <c r="R14" s="283"/>
      <c r="S14" s="279"/>
      <c r="T14" s="269"/>
      <c r="V14" s="263">
        <v>13.0</v>
      </c>
      <c r="W14" s="264">
        <f>IFERROR(__xludf.DUMMYFUNCTION("""COMPUTED_VALUE"""),46052.0)</f>
        <v>46052</v>
      </c>
      <c r="X14" s="265" t="str">
        <f>IFERROR(__xludf.DUMMYFUNCTION("""COMPUTED_VALUE"""),"Flocco")</f>
        <v>Flocco</v>
      </c>
      <c r="Y14" s="266">
        <f>IFERROR(__xludf.DUMMYFUNCTION("""COMPUTED_VALUE"""),3.2857142857142856)</f>
        <v>3.285714286</v>
      </c>
      <c r="Z14" s="266">
        <f>IFERROR(__xludf.DUMMYFUNCTION("""COMPUTED_VALUE"""),1.6659862556700857)</f>
        <v>1.665986256</v>
      </c>
      <c r="AA14" s="266">
        <f>IFERROR(__xludf.DUMMYFUNCTION("""COMPUTED_VALUE"""),3.6666666666666665)</f>
        <v>3.666666667</v>
      </c>
      <c r="AB14" s="265" t="str">
        <f>IFERROR(__xludf.DUMMYFUNCTION("""COMPUTED_VALUE"""),"keep it in the dark")</f>
        <v>keep it in the dark</v>
      </c>
      <c r="AC14" s="267" t="str">
        <f>IFERROR(__xludf.DUMMYFUNCTION("""COMPUTED_VALUE"""),"Capital Soirée")</f>
        <v>Capital Soirée</v>
      </c>
    </row>
    <row r="15">
      <c r="I15" s="234"/>
      <c r="J15" s="234"/>
      <c r="K15" s="234"/>
      <c r="L15" s="234"/>
      <c r="M15" s="234"/>
    </row>
    <row r="16">
      <c r="I16" s="234"/>
      <c r="J16" s="234"/>
      <c r="K16" s="234"/>
      <c r="L16" s="234"/>
      <c r="M16" s="234"/>
    </row>
    <row r="18">
      <c r="A18" s="29" t="s">
        <v>420</v>
      </c>
      <c r="V18" s="262" t="s">
        <v>367</v>
      </c>
      <c r="W18" s="262" t="s">
        <v>19</v>
      </c>
      <c r="X18" s="262" t="s">
        <v>16</v>
      </c>
      <c r="Y18" s="262" t="s">
        <v>75</v>
      </c>
      <c r="Z18" s="262" t="s">
        <v>76</v>
      </c>
      <c r="AA18" s="262" t="s">
        <v>78</v>
      </c>
      <c r="AB18" s="262" t="s">
        <v>368</v>
      </c>
      <c r="AC18" s="262" t="s">
        <v>82</v>
      </c>
    </row>
    <row r="19">
      <c r="A19" s="262" t="s">
        <v>369</v>
      </c>
      <c r="B19" s="262" t="s">
        <v>370</v>
      </c>
      <c r="C19" s="262" t="s">
        <v>371</v>
      </c>
      <c r="D19" s="262" t="s">
        <v>372</v>
      </c>
      <c r="E19" s="262" t="s">
        <v>373</v>
      </c>
      <c r="F19" s="262" t="s">
        <v>374</v>
      </c>
      <c r="G19" s="262" t="s">
        <v>51</v>
      </c>
      <c r="H19" s="29" t="s">
        <v>375</v>
      </c>
      <c r="I19" s="29" t="s">
        <v>376</v>
      </c>
      <c r="J19" s="29" t="s">
        <v>377</v>
      </c>
      <c r="K19" s="29" t="s">
        <v>21</v>
      </c>
      <c r="L19" s="29" t="s">
        <v>378</v>
      </c>
      <c r="M19" s="29" t="s">
        <v>379</v>
      </c>
      <c r="N19" s="29" t="s">
        <v>375</v>
      </c>
      <c r="O19" s="262" t="s">
        <v>51</v>
      </c>
      <c r="P19" s="262" t="s">
        <v>374</v>
      </c>
      <c r="Q19" s="262" t="s">
        <v>373</v>
      </c>
      <c r="R19" s="262" t="s">
        <v>372</v>
      </c>
      <c r="S19" s="262" t="s">
        <v>371</v>
      </c>
      <c r="T19" s="262" t="s">
        <v>370</v>
      </c>
      <c r="V19" s="300">
        <v>4.0</v>
      </c>
      <c r="W19" s="295">
        <f>IFERROR(__xludf.DUMMYFUNCTION("FILTER(Rankings!D:J, Rankings!D:D &gt;= DATE(2026,2,1), Rankings!D:D &lt; DATE(2026,3,1), Rankings!U:U = TRUE)"),46055.0)</f>
        <v>46055</v>
      </c>
      <c r="X19" s="296" t="str">
        <f>IFERROR(__xludf.DUMMYFUNCTION("""COMPUTED_VALUE"""),"Parker")</f>
        <v>Parker</v>
      </c>
      <c r="Y19" s="297">
        <f>IFERROR(__xludf.DUMMYFUNCTION("""COMPUTED_VALUE"""),2.142857142857143)</f>
        <v>2.142857143</v>
      </c>
      <c r="Z19" s="297">
        <f>IFERROR(__xludf.DUMMYFUNCTION("""COMPUTED_VALUE"""),1.551825784457174)</f>
        <v>1.551825784</v>
      </c>
      <c r="AA19" s="297">
        <f>IFERROR(__xludf.DUMMYFUNCTION("""COMPUTED_VALUE"""),2.3333333333333335)</f>
        <v>2.333333333</v>
      </c>
      <c r="AB19" s="296" t="str">
        <f>IFERROR(__xludf.DUMMYFUNCTION("""COMPUTED_VALUE"""),"DREAMING")</f>
        <v>DREAMING</v>
      </c>
      <c r="AC19" s="299" t="str">
        <f>IFERROR(__xludf.DUMMYFUNCTION("""COMPUTED_VALUE"""),"Turnstile")</f>
        <v>Turnstile</v>
      </c>
    </row>
    <row r="20">
      <c r="A20" s="268" t="s">
        <v>380</v>
      </c>
      <c r="B20" s="269"/>
      <c r="C20" s="270" t="s">
        <v>381</v>
      </c>
      <c r="D20" s="271"/>
      <c r="E20" s="272" t="s">
        <v>382</v>
      </c>
      <c r="F20" s="273"/>
      <c r="G20" s="274"/>
      <c r="H20" s="275"/>
      <c r="I20" s="276" t="str">
        <f>K22</f>
        <v>COMO CAPO</v>
      </c>
      <c r="J20" s="38">
        <f t="shared" ref="J20:J30" si="5">COUNTIF(B20:H20,"x")</f>
        <v>2</v>
      </c>
      <c r="K20" s="302" t="str">
        <f t="shared" ref="K20:K30" si="6">IF(J20&gt;=4,I20,IF(L20&gt;=4,M20,"TBD"))</f>
        <v>Soup</v>
      </c>
      <c r="L20" s="38">
        <f t="shared" ref="L20:L30" si="7">COUNTIF(N20:T20,"x")</f>
        <v>5</v>
      </c>
      <c r="M20" s="302" t="str">
        <f>K21</f>
        <v>Soup</v>
      </c>
      <c r="N20" s="275" t="s">
        <v>382</v>
      </c>
      <c r="O20" s="274" t="s">
        <v>382</v>
      </c>
      <c r="P20" s="273" t="s">
        <v>382</v>
      </c>
      <c r="Q20" s="278"/>
      <c r="R20" s="271" t="s">
        <v>381</v>
      </c>
      <c r="S20" s="279"/>
      <c r="T20" s="269" t="s">
        <v>381</v>
      </c>
      <c r="V20" s="304">
        <v>2.0</v>
      </c>
      <c r="W20" s="264">
        <f>IFERROR(__xludf.DUMMYFUNCTION("""COMPUTED_VALUE"""),46057.0)</f>
        <v>46057</v>
      </c>
      <c r="X20" s="265" t="str">
        <f>IFERROR(__xludf.DUMMYFUNCTION("""COMPUTED_VALUE"""),"Weston")</f>
        <v>Weston</v>
      </c>
      <c r="Y20" s="266">
        <f>IFERROR(__xludf.DUMMYFUNCTION("""COMPUTED_VALUE"""),1.8571428571428572)</f>
        <v>1.857142857</v>
      </c>
      <c r="Z20" s="266">
        <f>IFERROR(__xludf.DUMMYFUNCTION("""COMPUTED_VALUE"""),1.355261854357877)</f>
        <v>1.355261854</v>
      </c>
      <c r="AA20" s="266">
        <f>IFERROR(__xludf.DUMMYFUNCTION("""COMPUTED_VALUE"""),2.0)</f>
        <v>2</v>
      </c>
      <c r="AB20" s="265" t="str">
        <f>IFERROR(__xludf.DUMMYFUNCTION("""COMPUTED_VALUE"""),"Soup")</f>
        <v>Soup</v>
      </c>
      <c r="AC20" s="267" t="str">
        <f>IFERROR(__xludf.DUMMYFUNCTION("""COMPUTED_VALUE"""),"Remi Wolf")</f>
        <v>Remi Wolf</v>
      </c>
    </row>
    <row r="21">
      <c r="A21" s="268" t="s">
        <v>385</v>
      </c>
      <c r="B21" s="269"/>
      <c r="C21" s="270" t="s">
        <v>381</v>
      </c>
      <c r="D21" s="271"/>
      <c r="E21" s="272" t="s">
        <v>382</v>
      </c>
      <c r="F21" s="273" t="s">
        <v>382</v>
      </c>
      <c r="G21" s="274" t="s">
        <v>381</v>
      </c>
      <c r="H21" s="275" t="s">
        <v>382</v>
      </c>
      <c r="I21" s="302" t="str">
        <f t="shared" ref="I21:I22" si="8">K25</f>
        <v>Soup</v>
      </c>
      <c r="J21" s="38">
        <f t="shared" si="5"/>
        <v>5</v>
      </c>
      <c r="K21" s="302" t="str">
        <f t="shared" si="6"/>
        <v>Soup</v>
      </c>
      <c r="L21" s="38">
        <f t="shared" si="7"/>
        <v>2</v>
      </c>
      <c r="M21" s="305" t="str">
        <f>K24</f>
        <v>A Couple Minutes</v>
      </c>
      <c r="N21" s="275"/>
      <c r="O21" s="274"/>
      <c r="P21" s="273"/>
      <c r="Q21" s="272"/>
      <c r="R21" s="271" t="s">
        <v>381</v>
      </c>
      <c r="S21" s="270"/>
      <c r="T21" s="269" t="s">
        <v>381</v>
      </c>
      <c r="V21" s="304">
        <v>11.0</v>
      </c>
      <c r="W21" s="264">
        <f>IFERROR(__xludf.DUMMYFUNCTION("""COMPUTED_VALUE"""),46059.0)</f>
        <v>46059</v>
      </c>
      <c r="X21" s="265" t="str">
        <f>IFERROR(__xludf.DUMMYFUNCTION("""COMPUTED_VALUE"""),"Weston")</f>
        <v>Weston</v>
      </c>
      <c r="Y21" s="266">
        <f>IFERROR(__xludf.DUMMYFUNCTION("""COMPUTED_VALUE"""),2.7142857142857144)</f>
        <v>2.714285714</v>
      </c>
      <c r="Z21" s="266">
        <f>IFERROR(__xludf.DUMMYFUNCTION("""COMPUTED_VALUE"""),1.577908716741037)</f>
        <v>1.577908717</v>
      </c>
      <c r="AA21" s="266">
        <f>IFERROR(__xludf.DUMMYFUNCTION("""COMPUTED_VALUE"""),3.0)</f>
        <v>3</v>
      </c>
      <c r="AB21" s="265" t="str">
        <f>IFERROR(__xludf.DUMMYFUNCTION("""COMPUTED_VALUE"""),"I2I")</f>
        <v>I2I</v>
      </c>
      <c r="AC21" s="267" t="str">
        <f>IFERROR(__xludf.DUMMYFUNCTION("""COMPUTED_VALUE"""),"Tevin Campbell")</f>
        <v>Tevin Campbell</v>
      </c>
    </row>
    <row r="22">
      <c r="A22" s="268" t="s">
        <v>389</v>
      </c>
      <c r="B22" s="269" t="s">
        <v>381</v>
      </c>
      <c r="C22" s="270"/>
      <c r="D22" s="271"/>
      <c r="E22" s="272"/>
      <c r="F22" s="273"/>
      <c r="G22" s="274"/>
      <c r="H22" s="275" t="s">
        <v>382</v>
      </c>
      <c r="I22" s="277" t="str">
        <f t="shared" si="8"/>
        <v>Mutt</v>
      </c>
      <c r="J22" s="38">
        <f t="shared" si="5"/>
        <v>2</v>
      </c>
      <c r="K22" s="276" t="str">
        <f t="shared" si="6"/>
        <v>COMO CAPO</v>
      </c>
      <c r="L22" s="38">
        <f t="shared" si="7"/>
        <v>5</v>
      </c>
      <c r="M22" s="276" t="str">
        <f>K23</f>
        <v>COMO CAPO</v>
      </c>
      <c r="N22" s="275"/>
      <c r="O22" s="274" t="s">
        <v>381</v>
      </c>
      <c r="P22" s="273" t="s">
        <v>382</v>
      </c>
      <c r="Q22" s="272" t="s">
        <v>382</v>
      </c>
      <c r="R22" s="271" t="s">
        <v>381</v>
      </c>
      <c r="S22" s="270" t="s">
        <v>381</v>
      </c>
      <c r="T22" s="269"/>
      <c r="V22" s="304">
        <v>5.0</v>
      </c>
      <c r="W22" s="264">
        <f>IFERROR(__xludf.DUMMYFUNCTION("""COMPUTED_VALUE"""),46062.0)</f>
        <v>46062</v>
      </c>
      <c r="X22" s="265" t="str">
        <f>IFERROR(__xludf.DUMMYFUNCTION("""COMPUTED_VALUE"""),"Rosey")</f>
        <v>Rosey</v>
      </c>
      <c r="Y22" s="266">
        <f>IFERROR(__xludf.DUMMYFUNCTION("""COMPUTED_VALUE"""),2.2857142857142856)</f>
        <v>2.285714286</v>
      </c>
      <c r="Z22" s="266">
        <f>IFERROR(__xludf.DUMMYFUNCTION("""COMPUTED_VALUE"""),1.8294640678379566)</f>
        <v>1.829464068</v>
      </c>
      <c r="AA22" s="266">
        <f>IFERROR(__xludf.DUMMYFUNCTION("""COMPUTED_VALUE"""),2.5)</f>
        <v>2.5</v>
      </c>
      <c r="AB22" s="265" t="str">
        <f>IFERROR(__xludf.DUMMYFUNCTION("""COMPUTED_VALUE"""),"COMO CAPO")</f>
        <v>COMO CAPO</v>
      </c>
      <c r="AC22" s="267" t="str">
        <f>IFERROR(__xludf.DUMMYFUNCTION("""COMPUTED_VALUE"""),"Clave Especial, Fuerza Regida")</f>
        <v>Clave Especial, Fuerza Regida</v>
      </c>
    </row>
    <row r="23">
      <c r="A23" s="39" t="s">
        <v>390</v>
      </c>
      <c r="B23" s="269" t="s">
        <v>381</v>
      </c>
      <c r="C23" s="279"/>
      <c r="D23" s="283"/>
      <c r="E23" s="272"/>
      <c r="F23" s="273"/>
      <c r="G23" s="284"/>
      <c r="H23" s="275"/>
      <c r="I23" s="292" t="s">
        <v>425</v>
      </c>
      <c r="J23" s="38">
        <f t="shared" si="5"/>
        <v>1</v>
      </c>
      <c r="K23" s="276" t="str">
        <f t="shared" si="6"/>
        <v>COMO CAPO</v>
      </c>
      <c r="L23" s="38">
        <f t="shared" si="7"/>
        <v>5</v>
      </c>
      <c r="M23" s="276" t="str">
        <f>K30</f>
        <v>COMO CAPO</v>
      </c>
      <c r="N23" s="275" t="s">
        <v>382</v>
      </c>
      <c r="O23" s="274" t="s">
        <v>382</v>
      </c>
      <c r="P23" s="273" t="s">
        <v>382</v>
      </c>
      <c r="Q23" s="278"/>
      <c r="R23" s="271" t="s">
        <v>381</v>
      </c>
      <c r="S23" s="270" t="s">
        <v>381</v>
      </c>
      <c r="T23" s="269"/>
      <c r="V23" s="304">
        <v>3.0</v>
      </c>
      <c r="W23" s="264">
        <f>IFERROR(__xludf.DUMMYFUNCTION("""COMPUTED_VALUE"""),46064.0)</f>
        <v>46064</v>
      </c>
      <c r="X23" s="265" t="str">
        <f>IFERROR(__xludf.DUMMYFUNCTION("""COMPUTED_VALUE"""),"Giacomo")</f>
        <v>Giacomo</v>
      </c>
      <c r="Y23" s="266">
        <f>IFERROR(__xludf.DUMMYFUNCTION("""COMPUTED_VALUE"""),2.0)</f>
        <v>2</v>
      </c>
      <c r="Z23" s="266">
        <f>IFERROR(__xludf.DUMMYFUNCTION("""COMPUTED_VALUE"""),0.9258200997725514)</f>
        <v>0.9258200998</v>
      </c>
      <c r="AA23" s="266">
        <f>IFERROR(__xludf.DUMMYFUNCTION("""COMPUTED_VALUE"""),2.1666666666666665)</f>
        <v>2.166666667</v>
      </c>
      <c r="AB23" s="265" t="str">
        <f>IFERROR(__xludf.DUMMYFUNCTION("""COMPUTED_VALUE"""),"A Couple Minutes")</f>
        <v>A Couple Minutes</v>
      </c>
      <c r="AC23" s="267" t="str">
        <f>IFERROR(__xludf.DUMMYFUNCTION("""COMPUTED_VALUE"""),"Olivia Dean")</f>
        <v>Olivia Dean</v>
      </c>
    </row>
    <row r="24">
      <c r="A24" s="39" t="s">
        <v>393</v>
      </c>
      <c r="B24" s="269" t="s">
        <v>381</v>
      </c>
      <c r="C24" s="270" t="s">
        <v>381</v>
      </c>
      <c r="D24" s="271" t="s">
        <v>381</v>
      </c>
      <c r="E24" s="272" t="s">
        <v>382</v>
      </c>
      <c r="F24" s="273"/>
      <c r="G24" s="274"/>
      <c r="H24" s="275" t="s">
        <v>382</v>
      </c>
      <c r="I24" s="306" t="s">
        <v>426</v>
      </c>
      <c r="J24" s="38">
        <f t="shared" si="5"/>
        <v>5</v>
      </c>
      <c r="K24" s="305" t="str">
        <f t="shared" si="6"/>
        <v>A Couple Minutes</v>
      </c>
      <c r="L24" s="38">
        <f t="shared" si="7"/>
        <v>3</v>
      </c>
      <c r="M24" s="307" t="str">
        <f>K29</f>
        <v>Disco Man</v>
      </c>
      <c r="N24" s="286"/>
      <c r="O24" s="274" t="s">
        <v>381</v>
      </c>
      <c r="P24" s="273" t="s">
        <v>382</v>
      </c>
      <c r="Q24" s="272" t="s">
        <v>382</v>
      </c>
      <c r="R24" s="271"/>
      <c r="S24" s="270"/>
      <c r="T24" s="269"/>
      <c r="V24" s="304">
        <v>7.0</v>
      </c>
      <c r="W24" s="264">
        <f>IFERROR(__xludf.DUMMYFUNCTION("""COMPUTED_VALUE"""),46066.0)</f>
        <v>46066</v>
      </c>
      <c r="X24" s="265" t="str">
        <f>IFERROR(__xludf.DUMMYFUNCTION("""COMPUTED_VALUE"""),"Logan")</f>
        <v>Logan</v>
      </c>
      <c r="Y24" s="266">
        <f>IFERROR(__xludf.DUMMYFUNCTION("""COMPUTED_VALUE"""),2.4285714285714284)</f>
        <v>2.428571429</v>
      </c>
      <c r="Z24" s="266">
        <f>IFERROR(__xludf.DUMMYFUNCTION("""COMPUTED_VALUE"""),1.178030178747903)</f>
        <v>1.178030179</v>
      </c>
      <c r="AA24" s="266">
        <f>IFERROR(__xludf.DUMMYFUNCTION("""COMPUTED_VALUE"""),2.6666666666666665)</f>
        <v>2.666666667</v>
      </c>
      <c r="AB24" s="265" t="str">
        <f>IFERROR(__xludf.DUMMYFUNCTION("""COMPUTED_VALUE"""),"Masterpiece")</f>
        <v>Masterpiece</v>
      </c>
      <c r="AC24" s="267" t="str">
        <f>IFERROR(__xludf.DUMMYFUNCTION("""COMPUTED_VALUE"""),"Barney Fletcher")</f>
        <v>Barney Fletcher</v>
      </c>
    </row>
    <row r="25">
      <c r="A25" s="39" t="s">
        <v>394</v>
      </c>
      <c r="B25" s="269"/>
      <c r="C25" s="270" t="s">
        <v>381</v>
      </c>
      <c r="D25" s="271" t="s">
        <v>381</v>
      </c>
      <c r="E25" s="272" t="s">
        <v>382</v>
      </c>
      <c r="F25" s="273" t="s">
        <v>382</v>
      </c>
      <c r="G25" s="274" t="s">
        <v>382</v>
      </c>
      <c r="H25" s="275"/>
      <c r="I25" s="293" t="s">
        <v>429</v>
      </c>
      <c r="J25" s="38">
        <f t="shared" si="5"/>
        <v>5</v>
      </c>
      <c r="K25" s="302" t="str">
        <f t="shared" si="6"/>
        <v>Soup</v>
      </c>
      <c r="L25" s="38">
        <f t="shared" si="7"/>
        <v>1</v>
      </c>
      <c r="M25" s="288" t="str">
        <f>K28</f>
        <v>Masterpiece</v>
      </c>
      <c r="N25" s="275"/>
      <c r="O25" s="284"/>
      <c r="P25" s="273"/>
      <c r="Q25" s="272"/>
      <c r="R25" s="271"/>
      <c r="S25" s="270"/>
      <c r="T25" s="269" t="s">
        <v>381</v>
      </c>
      <c r="V25" s="304">
        <v>8.0</v>
      </c>
      <c r="W25" s="264">
        <f>IFERROR(__xludf.DUMMYFUNCTION("""COMPUTED_VALUE"""),46069.0)</f>
        <v>46069</v>
      </c>
      <c r="X25" s="265" t="str">
        <f>IFERROR(__xludf.DUMMYFUNCTION("""COMPUTED_VALUE"""),"Weston")</f>
        <v>Weston</v>
      </c>
      <c r="Y25" s="266">
        <f>IFERROR(__xludf.DUMMYFUNCTION("""COMPUTED_VALUE"""),2.4285714285714284)</f>
        <v>2.428571429</v>
      </c>
      <c r="Z25" s="266">
        <f>IFERROR(__xludf.DUMMYFUNCTION("""COMPUTED_VALUE"""),1.8405855323893037)</f>
        <v>1.840585532</v>
      </c>
      <c r="AA25" s="266">
        <f>IFERROR(__xludf.DUMMYFUNCTION("""COMPUTED_VALUE"""),2.6666666666666665)</f>
        <v>2.666666667</v>
      </c>
      <c r="AB25" s="265" t="str">
        <f>IFERROR(__xludf.DUMMYFUNCTION("""COMPUTED_VALUE"""),"I Wish")</f>
        <v>I Wish</v>
      </c>
      <c r="AC25" s="267" t="str">
        <f>IFERROR(__xludf.DUMMYFUNCTION("""COMPUTED_VALUE"""),"Stevie Wonder")</f>
        <v>Stevie Wonder</v>
      </c>
    </row>
    <row r="26">
      <c r="A26" s="39" t="s">
        <v>398</v>
      </c>
      <c r="B26" s="269" t="s">
        <v>381</v>
      </c>
      <c r="C26" s="270"/>
      <c r="D26" s="271" t="s">
        <v>381</v>
      </c>
      <c r="E26" s="272" t="s">
        <v>382</v>
      </c>
      <c r="F26" s="273" t="s">
        <v>382</v>
      </c>
      <c r="G26" s="274"/>
      <c r="H26" s="308" t="s">
        <v>382</v>
      </c>
      <c r="I26" s="291" t="s">
        <v>430</v>
      </c>
      <c r="J26" s="38">
        <f t="shared" si="5"/>
        <v>5</v>
      </c>
      <c r="K26" s="277" t="str">
        <f t="shared" si="6"/>
        <v>Mutt</v>
      </c>
      <c r="L26" s="38">
        <f t="shared" si="7"/>
        <v>1</v>
      </c>
      <c r="M26" s="281" t="str">
        <f>K27</f>
        <v>Y LLORO</v>
      </c>
      <c r="N26" s="275"/>
      <c r="O26" s="284"/>
      <c r="P26" s="282"/>
      <c r="Q26" s="278"/>
      <c r="R26" s="271"/>
      <c r="S26" s="270" t="s">
        <v>381</v>
      </c>
      <c r="T26" s="269"/>
      <c r="V26" s="304">
        <v>12.0</v>
      </c>
      <c r="W26" s="264">
        <f>IFERROR(__xludf.DUMMYFUNCTION("""COMPUTED_VALUE"""),46071.0)</f>
        <v>46071</v>
      </c>
      <c r="X26" s="265" t="str">
        <f>IFERROR(__xludf.DUMMYFUNCTION("""COMPUTED_VALUE"""),"Weston")</f>
        <v>Weston</v>
      </c>
      <c r="Y26" s="266">
        <f>IFERROR(__xludf.DUMMYFUNCTION("""COMPUTED_VALUE"""),2.857142857142857)</f>
        <v>2.857142857</v>
      </c>
      <c r="Z26" s="266">
        <f>IFERROR(__xludf.DUMMYFUNCTION("""COMPUTED_VALUE"""),2.099562636671296)</f>
        <v>2.099562637</v>
      </c>
      <c r="AA26" s="266">
        <f>IFERROR(__xludf.DUMMYFUNCTION("""COMPUTED_VALUE"""),3.0)</f>
        <v>3</v>
      </c>
      <c r="AB26" s="265" t="str">
        <f>IFERROR(__xludf.DUMMYFUNCTION("""COMPUTED_VALUE"""),"Cocoon")</f>
        <v>Cocoon</v>
      </c>
      <c r="AC26" s="267" t="str">
        <f>IFERROR(__xludf.DUMMYFUNCTION("""COMPUTED_VALUE"""),"Catfish and the Bottlemen")</f>
        <v>Catfish and the Bottlemen</v>
      </c>
    </row>
    <row r="27">
      <c r="A27" s="289" t="s">
        <v>400</v>
      </c>
      <c r="B27" s="269" t="s">
        <v>381</v>
      </c>
      <c r="C27" s="279"/>
      <c r="D27" s="271" t="s">
        <v>381</v>
      </c>
      <c r="E27" s="272"/>
      <c r="F27" s="273"/>
      <c r="G27" s="274" t="s">
        <v>382</v>
      </c>
      <c r="H27" s="275"/>
      <c r="I27" s="293" t="s">
        <v>433</v>
      </c>
      <c r="J27" s="38">
        <f t="shared" si="5"/>
        <v>3</v>
      </c>
      <c r="K27" s="281" t="str">
        <f t="shared" si="6"/>
        <v>Y LLORO</v>
      </c>
      <c r="L27" s="38">
        <f t="shared" si="7"/>
        <v>4</v>
      </c>
      <c r="M27" s="292" t="s">
        <v>53</v>
      </c>
      <c r="N27" s="275" t="s">
        <v>382</v>
      </c>
      <c r="O27" s="274"/>
      <c r="P27" s="273" t="s">
        <v>382</v>
      </c>
      <c r="Q27" s="272" t="s">
        <v>382</v>
      </c>
      <c r="R27" s="271"/>
      <c r="S27" s="270" t="s">
        <v>381</v>
      </c>
      <c r="T27" s="269"/>
      <c r="V27" s="304">
        <v>9.0</v>
      </c>
      <c r="W27" s="264">
        <f>IFERROR(__xludf.DUMMYFUNCTION("""COMPUTED_VALUE"""),46073.0)</f>
        <v>46073</v>
      </c>
      <c r="X27" s="265" t="str">
        <f>IFERROR(__xludf.DUMMYFUNCTION("""COMPUTED_VALUE"""),"Parker")</f>
        <v>Parker</v>
      </c>
      <c r="Y27" s="266">
        <f>IFERROR(__xludf.DUMMYFUNCTION("""COMPUTED_VALUE"""),2.4285714285714284)</f>
        <v>2.428571429</v>
      </c>
      <c r="Z27" s="266">
        <f>IFERROR(__xludf.DUMMYFUNCTION("""COMPUTED_VALUE"""),1.9166296949998196)</f>
        <v>1.916629695</v>
      </c>
      <c r="AA27" s="266">
        <f>IFERROR(__xludf.DUMMYFUNCTION("""COMPUTED_VALUE"""),2.6666666666666665)</f>
        <v>2.666666667</v>
      </c>
      <c r="AB27" s="265" t="str">
        <f>IFERROR(__xludf.DUMMYFUNCTION("""COMPUTED_VALUE"""),"Y LLORO")</f>
        <v>Y LLORO</v>
      </c>
      <c r="AC27" s="267" t="str">
        <f>IFERROR(__xludf.DUMMYFUNCTION("""COMPUTED_VALUE"""),"Junior H")</f>
        <v>Junior H</v>
      </c>
    </row>
    <row r="28">
      <c r="A28" s="289" t="s">
        <v>403</v>
      </c>
      <c r="B28" s="269" t="s">
        <v>381</v>
      </c>
      <c r="C28" s="270" t="s">
        <v>381</v>
      </c>
      <c r="D28" s="271" t="s">
        <v>381</v>
      </c>
      <c r="E28" s="272" t="s">
        <v>382</v>
      </c>
      <c r="F28" s="273" t="s">
        <v>382</v>
      </c>
      <c r="G28" s="274"/>
      <c r="H28" s="275"/>
      <c r="I28" s="287" t="s">
        <v>434</v>
      </c>
      <c r="J28" s="38">
        <f t="shared" si="5"/>
        <v>5</v>
      </c>
      <c r="K28" s="288" t="str">
        <f t="shared" si="6"/>
        <v>Masterpiece</v>
      </c>
      <c r="L28" s="38">
        <f t="shared" si="7"/>
        <v>2</v>
      </c>
      <c r="M28" s="292" t="s">
        <v>435</v>
      </c>
      <c r="N28" s="275" t="s">
        <v>382</v>
      </c>
      <c r="O28" s="274" t="s">
        <v>382</v>
      </c>
      <c r="P28" s="282"/>
      <c r="Q28" s="278"/>
      <c r="R28" s="271"/>
      <c r="S28" s="270"/>
      <c r="T28" s="269"/>
      <c r="V28" s="304">
        <v>6.0</v>
      </c>
      <c r="W28" s="264">
        <f>IFERROR(__xludf.DUMMYFUNCTION("""COMPUTED_VALUE"""),46076.0)</f>
        <v>46076</v>
      </c>
      <c r="X28" s="265" t="str">
        <f>IFERROR(__xludf.DUMMYFUNCTION("""COMPUTED_VALUE"""),"TTAC")</f>
        <v>TTAC</v>
      </c>
      <c r="Y28" s="266">
        <f>IFERROR(__xludf.DUMMYFUNCTION("""COMPUTED_VALUE"""),2.4285714285714284)</f>
        <v>2.428571429</v>
      </c>
      <c r="Z28" s="266">
        <f>IFERROR(__xludf.DUMMYFUNCTION("""COMPUTED_VALUE"""),0.9035079029052512)</f>
        <v>0.9035079029</v>
      </c>
      <c r="AA28" s="266">
        <f>IFERROR(__xludf.DUMMYFUNCTION("""COMPUTED_VALUE"""),2.6666666666666665)</f>
        <v>2.666666667</v>
      </c>
      <c r="AB28" s="265" t="str">
        <f>IFERROR(__xludf.DUMMYFUNCTION("""COMPUTED_VALUE"""),"Disco Man")</f>
        <v>Disco Man</v>
      </c>
      <c r="AC28" s="267" t="str">
        <f>IFERROR(__xludf.DUMMYFUNCTION("""COMPUTED_VALUE"""),"Remi Wolf")</f>
        <v>Remi Wolf</v>
      </c>
    </row>
    <row r="29">
      <c r="A29" s="289" t="s">
        <v>409</v>
      </c>
      <c r="B29" s="269" t="s">
        <v>381</v>
      </c>
      <c r="C29" s="270" t="s">
        <v>381</v>
      </c>
      <c r="D29" s="283"/>
      <c r="E29" s="272"/>
      <c r="F29" s="273" t="s">
        <v>382</v>
      </c>
      <c r="G29" s="274" t="s">
        <v>382</v>
      </c>
      <c r="H29" s="275" t="s">
        <v>382</v>
      </c>
      <c r="I29" s="290" t="s">
        <v>438</v>
      </c>
      <c r="J29" s="38">
        <f t="shared" si="5"/>
        <v>5</v>
      </c>
      <c r="K29" s="307" t="str">
        <f t="shared" si="6"/>
        <v>Disco Man</v>
      </c>
      <c r="L29" s="38">
        <f t="shared" si="7"/>
        <v>1</v>
      </c>
      <c r="M29" s="293" t="s">
        <v>77</v>
      </c>
      <c r="N29" s="275"/>
      <c r="O29" s="284"/>
      <c r="P29" s="273"/>
      <c r="Q29" s="272"/>
      <c r="R29" s="271" t="s">
        <v>381</v>
      </c>
      <c r="S29" s="270"/>
      <c r="T29" s="280"/>
      <c r="V29" s="304">
        <v>10.0</v>
      </c>
      <c r="W29" s="264">
        <f>IFERROR(__xludf.DUMMYFUNCTION("""COMPUTED_VALUE"""),46078.0)</f>
        <v>46078</v>
      </c>
      <c r="X29" s="265" t="str">
        <f>IFERROR(__xludf.DUMMYFUNCTION("""COMPUTED_VALUE"""),"Parker")</f>
        <v>Parker</v>
      </c>
      <c r="Y29" s="266">
        <f>IFERROR(__xludf.DUMMYFUNCTION("""COMPUTED_VALUE"""),2.7142857142857144)</f>
        <v>2.714285714</v>
      </c>
      <c r="Z29" s="266">
        <f>IFERROR(__xludf.DUMMYFUNCTION("""COMPUTED_VALUE"""),1.2777531299998799)</f>
        <v>1.27775313</v>
      </c>
      <c r="AA29" s="266">
        <f>IFERROR(__xludf.DUMMYFUNCTION("""COMPUTED_VALUE"""),2.8333333333333335)</f>
        <v>2.833333333</v>
      </c>
      <c r="AB29" s="265" t="str">
        <f>IFERROR(__xludf.DUMMYFUNCTION("""COMPUTED_VALUE"""),"Skin &amp; Bones")</f>
        <v>Skin &amp; Bones</v>
      </c>
      <c r="AC29" s="267" t="str">
        <f>IFERROR(__xludf.DUMMYFUNCTION("""COMPUTED_VALUE"""),"Silverstein")</f>
        <v>Silverstein</v>
      </c>
    </row>
    <row r="30">
      <c r="A30" s="309" t="s">
        <v>413</v>
      </c>
      <c r="B30" s="310"/>
      <c r="C30" s="311" t="s">
        <v>381</v>
      </c>
      <c r="D30" s="312" t="s">
        <v>381</v>
      </c>
      <c r="E30" s="313"/>
      <c r="F30" s="314" t="s">
        <v>382</v>
      </c>
      <c r="G30" s="315" t="s">
        <v>382</v>
      </c>
      <c r="H30" s="316" t="s">
        <v>382</v>
      </c>
      <c r="I30" s="317" t="s">
        <v>440</v>
      </c>
      <c r="J30" s="318">
        <f t="shared" si="5"/>
        <v>5</v>
      </c>
      <c r="K30" s="319" t="str">
        <f t="shared" si="6"/>
        <v>COMO CAPO</v>
      </c>
      <c r="L30" s="318">
        <f t="shared" si="7"/>
        <v>1</v>
      </c>
      <c r="M30" s="320" t="s">
        <v>443</v>
      </c>
      <c r="N30" s="321"/>
      <c r="O30" s="315"/>
      <c r="P30" s="322"/>
      <c r="Q30" s="313"/>
      <c r="R30" s="312"/>
      <c r="S30" s="311"/>
      <c r="T30" s="310" t="s">
        <v>381</v>
      </c>
      <c r="U30" s="177"/>
      <c r="V30" s="304">
        <v>1.0</v>
      </c>
      <c r="W30" s="264">
        <f>IFERROR(__xludf.DUMMYFUNCTION("""COMPUTED_VALUE"""),46080.0)</f>
        <v>46080</v>
      </c>
      <c r="X30" s="265" t="str">
        <f>IFERROR(__xludf.DUMMYFUNCTION("""COMPUTED_VALUE"""),"Flocco")</f>
        <v>Flocco</v>
      </c>
      <c r="Y30" s="266">
        <f>IFERROR(__xludf.DUMMYFUNCTION("""COMPUTED_VALUE"""),1.4285714285714286)</f>
        <v>1.428571429</v>
      </c>
      <c r="Z30" s="266">
        <f>IFERROR(__xludf.DUMMYFUNCTION("""COMPUTED_VALUE"""),0.4948716593053935)</f>
        <v>0.4948716593</v>
      </c>
      <c r="AA30" s="266">
        <f>IFERROR(__xludf.DUMMYFUNCTION("""COMPUTED_VALUE"""),1.5)</f>
        <v>1.5</v>
      </c>
      <c r="AB30" s="265" t="str">
        <f>IFERROR(__xludf.DUMMYFUNCTION("""COMPUTED_VALUE"""),"MUTT")</f>
        <v>MUTT</v>
      </c>
      <c r="AC30" s="267" t="str">
        <f>IFERROR(__xludf.DUMMYFUNCTION("""COMPUTED_VALUE"""),"Leon Thomas")</f>
        <v>Leon Thomas</v>
      </c>
    </row>
    <row r="31">
      <c r="A31" s="324"/>
      <c r="B31" s="324"/>
      <c r="C31" s="324"/>
      <c r="D31" s="324"/>
      <c r="E31" s="324"/>
      <c r="F31" s="324"/>
      <c r="G31" s="324"/>
      <c r="H31" s="324"/>
      <c r="I31" s="325"/>
      <c r="J31" s="326"/>
      <c r="K31" s="326"/>
      <c r="L31" s="326"/>
      <c r="M31" s="325"/>
      <c r="N31" s="324"/>
      <c r="O31" s="324"/>
      <c r="P31" s="324"/>
      <c r="Q31" s="324"/>
      <c r="R31" s="327"/>
      <c r="S31" s="327"/>
      <c r="T31" s="324"/>
    </row>
    <row r="32">
      <c r="I32" s="234"/>
      <c r="J32" s="234"/>
      <c r="K32" s="234"/>
      <c r="L32" s="234"/>
      <c r="M32" s="234"/>
    </row>
    <row r="33">
      <c r="I33" s="234"/>
      <c r="J33" s="234"/>
      <c r="K33" s="234"/>
      <c r="L33" s="234"/>
      <c r="M33" s="234"/>
    </row>
    <row r="34">
      <c r="A34" s="29" t="s">
        <v>444</v>
      </c>
      <c r="V34" s="262" t="s">
        <v>367</v>
      </c>
      <c r="W34" s="262" t="s">
        <v>19</v>
      </c>
      <c r="X34" s="262" t="s">
        <v>16</v>
      </c>
      <c r="Y34" s="262" t="s">
        <v>75</v>
      </c>
      <c r="Z34" s="262" t="s">
        <v>76</v>
      </c>
      <c r="AA34" s="262" t="s">
        <v>78</v>
      </c>
      <c r="AB34" s="262" t="s">
        <v>368</v>
      </c>
      <c r="AC34" s="262" t="s">
        <v>82</v>
      </c>
    </row>
    <row r="35">
      <c r="A35" s="262" t="s">
        <v>369</v>
      </c>
      <c r="B35" s="262" t="s">
        <v>370</v>
      </c>
      <c r="C35" s="262" t="s">
        <v>371</v>
      </c>
      <c r="D35" s="262" t="s">
        <v>372</v>
      </c>
      <c r="E35" s="262" t="s">
        <v>373</v>
      </c>
      <c r="F35" s="262" t="s">
        <v>374</v>
      </c>
      <c r="G35" s="262" t="s">
        <v>51</v>
      </c>
      <c r="H35" s="29" t="s">
        <v>375</v>
      </c>
      <c r="I35" s="29" t="s">
        <v>376</v>
      </c>
      <c r="J35" s="29" t="s">
        <v>377</v>
      </c>
      <c r="K35" s="29" t="s">
        <v>21</v>
      </c>
      <c r="L35" s="29" t="s">
        <v>378</v>
      </c>
      <c r="M35" s="29" t="s">
        <v>379</v>
      </c>
      <c r="N35" s="29" t="s">
        <v>375</v>
      </c>
      <c r="O35" s="262" t="s">
        <v>51</v>
      </c>
      <c r="P35" s="262" t="s">
        <v>374</v>
      </c>
      <c r="Q35" s="262" t="s">
        <v>373</v>
      </c>
      <c r="R35" s="262" t="s">
        <v>372</v>
      </c>
      <c r="S35" s="262" t="s">
        <v>371</v>
      </c>
      <c r="T35" s="262" t="s">
        <v>370</v>
      </c>
      <c r="V35" s="300">
        <v>2.0</v>
      </c>
      <c r="W35" s="295">
        <f>IFERROR(__xludf.DUMMYFUNCTION("FILTER(Rankings!D:J, Rankings!D:D &gt;= DATE(2026,3,1), Rankings!D:D &lt; DATE(2026,4,1), Rankings!U:U = TRUE)"),46083.0)</f>
        <v>46083</v>
      </c>
      <c r="X35" s="296" t="str">
        <f>IFERROR(__xludf.DUMMYFUNCTION("""COMPUTED_VALUE"""),"Rosey")</f>
        <v>Rosey</v>
      </c>
      <c r="Y35" s="297">
        <f>IFERROR(__xludf.DUMMYFUNCTION("""COMPUTED_VALUE"""),2.142857142857143)</f>
        <v>2.142857143</v>
      </c>
      <c r="Z35" s="297">
        <f>IFERROR(__xludf.DUMMYFUNCTION("""COMPUTED_VALUE"""),1.355261854357877)</f>
        <v>1.355261854</v>
      </c>
      <c r="AA35" s="297">
        <f>IFERROR(__xludf.DUMMYFUNCTION("""COMPUTED_VALUE"""),2.3333333333333335)</f>
        <v>2.333333333</v>
      </c>
      <c r="AB35" s="296" t="str">
        <f>IFERROR(__xludf.DUMMYFUNCTION("""COMPUTED_VALUE"""),"BAILE INoLVIDABLE")</f>
        <v>BAILE INoLVIDABLE</v>
      </c>
      <c r="AC35" s="299" t="str">
        <f>IFERROR(__xludf.DUMMYFUNCTION("""COMPUTED_VALUE"""),"Bad Bunny")</f>
        <v>Bad Bunny</v>
      </c>
    </row>
    <row r="36">
      <c r="A36" s="268" t="s">
        <v>380</v>
      </c>
      <c r="B36" s="269"/>
      <c r="C36" s="270"/>
      <c r="D36" s="271"/>
      <c r="E36" s="272"/>
      <c r="F36" s="273" t="s">
        <v>382</v>
      </c>
      <c r="G36" s="274"/>
      <c r="H36" s="275"/>
      <c r="I36" s="276" t="str">
        <f>K38</f>
        <v>Silver Springs</v>
      </c>
      <c r="J36" s="38">
        <f t="shared" ref="J36:J47" si="9">COUNTIF(B36:H36,"x")</f>
        <v>1</v>
      </c>
      <c r="K36" s="276" t="str">
        <f t="shared" ref="K36:K47" si="10">IF(J36&gt;=4,I36,IF(L36&gt;=4,M36,"TBD"))</f>
        <v>BAILE INoLVIDABLE</v>
      </c>
      <c r="L36" s="38">
        <f t="shared" ref="L36:L47" si="11">COUNTIF(N36:T36,"x")</f>
        <v>5</v>
      </c>
      <c r="M36" s="276" t="str">
        <f>K37</f>
        <v>BAILE INoLVIDABLE</v>
      </c>
      <c r="N36" s="275"/>
      <c r="O36" s="274" t="s">
        <v>381</v>
      </c>
      <c r="P36" s="273"/>
      <c r="Q36" s="272" t="s">
        <v>381</v>
      </c>
      <c r="R36" s="271" t="s">
        <v>381</v>
      </c>
      <c r="S36" s="270" t="s">
        <v>381</v>
      </c>
      <c r="T36" s="269" t="s">
        <v>381</v>
      </c>
      <c r="V36" s="300">
        <v>10.0</v>
      </c>
      <c r="W36" s="264">
        <f>IFERROR(__xludf.DUMMYFUNCTION("""COMPUTED_VALUE"""),46085.0)</f>
        <v>46085</v>
      </c>
      <c r="X36" s="265" t="str">
        <f>IFERROR(__xludf.DUMMYFUNCTION("""COMPUTED_VALUE"""),"Rosey")</f>
        <v>Rosey</v>
      </c>
      <c r="Y36" s="266">
        <f>IFERROR(__xludf.DUMMYFUNCTION("""COMPUTED_VALUE"""),2.7142857142857144)</f>
        <v>2.714285714</v>
      </c>
      <c r="Z36" s="266">
        <f>IFERROR(__xludf.DUMMYFUNCTION("""COMPUTED_VALUE"""),2.1189138534559038)</f>
        <v>2.118913853</v>
      </c>
      <c r="AA36" s="266">
        <f>IFERROR(__xludf.DUMMYFUNCTION("""COMPUTED_VALUE"""),2.8333333333333335)</f>
        <v>2.833333333</v>
      </c>
      <c r="AB36" s="265" t="str">
        <f>IFERROR(__xludf.DUMMYFUNCTION("""COMPUTED_VALUE"""),"Seasons (Waiting on You)")</f>
        <v>Seasons (Waiting on You)</v>
      </c>
      <c r="AC36" s="267" t="str">
        <f>IFERROR(__xludf.DUMMYFUNCTION("""COMPUTED_VALUE"""),"Future Islands")</f>
        <v>Future Islands</v>
      </c>
    </row>
    <row r="37">
      <c r="A37" s="268" t="s">
        <v>385</v>
      </c>
      <c r="B37" s="269" t="s">
        <v>381</v>
      </c>
      <c r="C37" s="270" t="s">
        <v>381</v>
      </c>
      <c r="D37" s="271" t="s">
        <v>381</v>
      </c>
      <c r="E37" s="272" t="s">
        <v>382</v>
      </c>
      <c r="F37" s="273" t="s">
        <v>382</v>
      </c>
      <c r="G37" s="274" t="s">
        <v>381</v>
      </c>
      <c r="H37" s="275"/>
      <c r="I37" s="276" t="str">
        <f t="shared" ref="I37:I38" si="12">K41</f>
        <v>BAILE INoLVIDABLE</v>
      </c>
      <c r="J37" s="38">
        <f t="shared" si="9"/>
        <v>6</v>
      </c>
      <c r="K37" s="276" t="str">
        <f t="shared" si="10"/>
        <v>BAILE INoLVIDABLE</v>
      </c>
      <c r="L37" s="38">
        <f t="shared" si="11"/>
        <v>0</v>
      </c>
      <c r="M37" s="302" t="str">
        <f>K40</f>
        <v>Clockwork</v>
      </c>
      <c r="N37" s="275"/>
      <c r="O37" s="274"/>
      <c r="P37" s="273"/>
      <c r="Q37" s="272"/>
      <c r="R37" s="271"/>
      <c r="S37" s="270"/>
      <c r="T37" s="269"/>
      <c r="V37" s="300">
        <v>1.0</v>
      </c>
      <c r="W37" s="264">
        <f>IFERROR(__xludf.DUMMYFUNCTION("""COMPUTED_VALUE"""),46087.0)</f>
        <v>46087</v>
      </c>
      <c r="X37" s="265" t="str">
        <f>IFERROR(__xludf.DUMMYFUNCTION("""COMPUTED_VALUE"""),"Logan")</f>
        <v>Logan</v>
      </c>
      <c r="Y37" s="266">
        <f>IFERROR(__xludf.DUMMYFUNCTION("""COMPUTED_VALUE"""),1.8571428571428572)</f>
        <v>1.857142857</v>
      </c>
      <c r="Z37" s="266">
        <f>IFERROR(__xludf.DUMMYFUNCTION("""COMPUTED_VALUE"""),1.1248582677159729)</f>
        <v>1.124858268</v>
      </c>
      <c r="AA37" s="266">
        <f>IFERROR(__xludf.DUMMYFUNCTION("""COMPUTED_VALUE"""),1.6666666666666667)</f>
        <v>1.666666667</v>
      </c>
      <c r="AB37" s="265" t="str">
        <f>IFERROR(__xludf.DUMMYFUNCTION("""COMPUTED_VALUE"""),"Best Part")</f>
        <v>Best Part</v>
      </c>
      <c r="AC37" s="267" t="str">
        <f>IFERROR(__xludf.DUMMYFUNCTION("""COMPUTED_VALUE"""),"Daniel Ceasar, H.E.R.")</f>
        <v>Daniel Ceasar, H.E.R.</v>
      </c>
    </row>
    <row r="38">
      <c r="A38" s="268" t="s">
        <v>389</v>
      </c>
      <c r="B38" s="269" t="s">
        <v>381</v>
      </c>
      <c r="C38" s="270"/>
      <c r="D38" s="271"/>
      <c r="E38" s="272"/>
      <c r="F38" s="273"/>
      <c r="G38" s="274" t="s">
        <v>381</v>
      </c>
      <c r="H38" s="275"/>
      <c r="I38" s="302" t="str">
        <f t="shared" si="12"/>
        <v>Shiva</v>
      </c>
      <c r="J38" s="38">
        <f t="shared" si="9"/>
        <v>2</v>
      </c>
      <c r="K38" s="276" t="str">
        <f t="shared" si="10"/>
        <v>Silver Springs</v>
      </c>
      <c r="L38" s="38">
        <f t="shared" si="11"/>
        <v>4</v>
      </c>
      <c r="M38" s="276" t="str">
        <f>K39</f>
        <v>Silver Springs</v>
      </c>
      <c r="N38" s="275"/>
      <c r="O38" s="274"/>
      <c r="P38" s="273" t="s">
        <v>382</v>
      </c>
      <c r="Q38" s="272" t="s">
        <v>382</v>
      </c>
      <c r="R38" s="271" t="s">
        <v>381</v>
      </c>
      <c r="S38" s="270" t="s">
        <v>381</v>
      </c>
      <c r="T38" s="269"/>
      <c r="V38" s="300">
        <v>3.0</v>
      </c>
      <c r="W38" s="264">
        <f>IFERROR(__xludf.DUMMYFUNCTION("""COMPUTED_VALUE"""),46090.0)</f>
        <v>46090</v>
      </c>
      <c r="X38" s="265" t="str">
        <f>IFERROR(__xludf.DUMMYFUNCTION("""COMPUTED_VALUE"""),"Giacomo")</f>
        <v>Giacomo</v>
      </c>
      <c r="Y38" s="266">
        <f>IFERROR(__xludf.DUMMYFUNCTION("""COMPUTED_VALUE"""),2.2857142857142856)</f>
        <v>2.285714286</v>
      </c>
      <c r="Z38" s="266">
        <f>IFERROR(__xludf.DUMMYFUNCTION("""COMPUTED_VALUE"""),1.1605769149479943)</f>
        <v>1.160576915</v>
      </c>
      <c r="AA38" s="266">
        <f>IFERROR(__xludf.DUMMYFUNCTION("""COMPUTED_VALUE"""),2.3333333333333335)</f>
        <v>2.333333333</v>
      </c>
      <c r="AB38" s="265" t="str">
        <f>IFERROR(__xludf.DUMMYFUNCTION("""COMPUTED_VALUE"""),"No Simulation")</f>
        <v>No Simulation</v>
      </c>
      <c r="AC38" s="267" t="str">
        <f>IFERROR(__xludf.DUMMYFUNCTION("""COMPUTED_VALUE"""),"Tinashe")</f>
        <v>Tinashe</v>
      </c>
    </row>
    <row r="39">
      <c r="A39" s="39" t="s">
        <v>390</v>
      </c>
      <c r="B39" s="269"/>
      <c r="C39" s="270" t="s">
        <v>381</v>
      </c>
      <c r="D39" s="283"/>
      <c r="E39" s="272" t="s">
        <v>382</v>
      </c>
      <c r="F39" s="273" t="s">
        <v>382</v>
      </c>
      <c r="G39" s="284"/>
      <c r="H39" s="275" t="s">
        <v>382</v>
      </c>
      <c r="I39" s="285" t="str">
        <f>K47</f>
        <v>Silver Springs</v>
      </c>
      <c r="J39" s="38">
        <f t="shared" si="9"/>
        <v>4</v>
      </c>
      <c r="K39" s="276" t="str">
        <f t="shared" si="10"/>
        <v>Silver Springs</v>
      </c>
      <c r="L39" s="38">
        <f t="shared" si="11"/>
        <v>3</v>
      </c>
      <c r="M39" s="305" t="str">
        <f>K46</f>
        <v>Layaway Luv</v>
      </c>
      <c r="N39" s="275"/>
      <c r="O39" s="274" t="s">
        <v>382</v>
      </c>
      <c r="P39" s="273"/>
      <c r="Q39" s="278"/>
      <c r="R39" s="271" t="s">
        <v>381</v>
      </c>
      <c r="S39" s="270"/>
      <c r="T39" s="269" t="s">
        <v>381</v>
      </c>
      <c r="V39" s="300">
        <v>4.0</v>
      </c>
      <c r="W39" s="264">
        <f>IFERROR(__xludf.DUMMYFUNCTION("""COMPUTED_VALUE"""),46092.0)</f>
        <v>46092</v>
      </c>
      <c r="X39" s="265" t="str">
        <f>IFERROR(__xludf.DUMMYFUNCTION("""COMPUTED_VALUE"""),"Rosey")</f>
        <v>Rosey</v>
      </c>
      <c r="Y39" s="266">
        <f>IFERROR(__xludf.DUMMYFUNCTION("""COMPUTED_VALUE"""),2.2857142857142856)</f>
        <v>2.285714286</v>
      </c>
      <c r="Z39" s="266">
        <f>IFERROR(__xludf.DUMMYFUNCTION("""COMPUTED_VALUE"""),1.6659862556700857)</f>
        <v>1.665986256</v>
      </c>
      <c r="AA39" s="266">
        <f>IFERROR(__xludf.DUMMYFUNCTION("""COMPUTED_VALUE"""),2.3333333333333335)</f>
        <v>2.333333333</v>
      </c>
      <c r="AB39" s="265" t="str">
        <f>IFERROR(__xludf.DUMMYFUNCTION("""COMPUTED_VALUE"""),"Silver Springs")</f>
        <v>Silver Springs</v>
      </c>
      <c r="AC39" s="267" t="str">
        <f>IFERROR(__xludf.DUMMYFUNCTION("""COMPUTED_VALUE"""),"Fleetwood Mac")</f>
        <v>Fleetwood Mac</v>
      </c>
    </row>
    <row r="40">
      <c r="A40" s="39" t="s">
        <v>393</v>
      </c>
      <c r="B40" s="269" t="s">
        <v>381</v>
      </c>
      <c r="C40" s="270"/>
      <c r="D40" s="271" t="s">
        <v>381</v>
      </c>
      <c r="E40" s="272"/>
      <c r="F40" s="273"/>
      <c r="G40" s="274" t="s">
        <v>381</v>
      </c>
      <c r="H40" s="275"/>
      <c r="I40" s="305" t="s">
        <v>463</v>
      </c>
      <c r="J40" s="38">
        <f t="shared" si="9"/>
        <v>3</v>
      </c>
      <c r="K40" s="302" t="str">
        <f t="shared" si="10"/>
        <v>Clockwork</v>
      </c>
      <c r="L40" s="38">
        <f t="shared" si="11"/>
        <v>4</v>
      </c>
      <c r="M40" s="302" t="str">
        <f>K45</f>
        <v>Clockwork</v>
      </c>
      <c r="N40" s="275" t="s">
        <v>382</v>
      </c>
      <c r="O40" s="274"/>
      <c r="P40" s="273" t="s">
        <v>382</v>
      </c>
      <c r="Q40" s="272" t="s">
        <v>382</v>
      </c>
      <c r="R40" s="271"/>
      <c r="S40" s="270" t="s">
        <v>381</v>
      </c>
      <c r="T40" s="269"/>
      <c r="V40" s="300">
        <v>5.0</v>
      </c>
      <c r="W40" s="264">
        <f>IFERROR(__xludf.DUMMYFUNCTION("""COMPUTED_VALUE"""),46094.0)</f>
        <v>46094</v>
      </c>
      <c r="X40" s="265" t="str">
        <f>IFERROR(__xludf.DUMMYFUNCTION("""COMPUTED_VALUE"""),"Flocco")</f>
        <v>Flocco</v>
      </c>
      <c r="Y40" s="266">
        <f>IFERROR(__xludf.DUMMYFUNCTION("""COMPUTED_VALUE"""),2.2857142857142856)</f>
        <v>2.285714286</v>
      </c>
      <c r="Z40" s="266">
        <f>IFERROR(__xludf.DUMMYFUNCTION("""COMPUTED_VALUE"""),1.1605769149479943)</f>
        <v>1.160576915</v>
      </c>
      <c r="AA40" s="266">
        <f>IFERROR(__xludf.DUMMYFUNCTION("""COMPUTED_VALUE"""),2.5)</f>
        <v>2.5</v>
      </c>
      <c r="AB40" s="265" t="str">
        <f>IFERROR(__xludf.DUMMYFUNCTION("""COMPUTED_VALUE"""),"Yellow")</f>
        <v>Yellow</v>
      </c>
      <c r="AC40" s="267" t="str">
        <f>IFERROR(__xludf.DUMMYFUNCTION("""COMPUTED_VALUE"""),"Coldplay")</f>
        <v>Coldplay</v>
      </c>
    </row>
    <row r="41">
      <c r="A41" s="39" t="s">
        <v>394</v>
      </c>
      <c r="B41" s="269" t="s">
        <v>381</v>
      </c>
      <c r="C41" s="270" t="s">
        <v>381</v>
      </c>
      <c r="D41" s="271" t="s">
        <v>381</v>
      </c>
      <c r="E41" s="272" t="s">
        <v>382</v>
      </c>
      <c r="F41" s="273" t="s">
        <v>382</v>
      </c>
      <c r="G41" s="274" t="s">
        <v>381</v>
      </c>
      <c r="H41" s="275" t="s">
        <v>382</v>
      </c>
      <c r="I41" s="276" t="s">
        <v>465</v>
      </c>
      <c r="J41" s="38">
        <f t="shared" si="9"/>
        <v>7</v>
      </c>
      <c r="K41" s="276" t="str">
        <f t="shared" si="10"/>
        <v>BAILE INoLVIDABLE</v>
      </c>
      <c r="L41" s="38">
        <f t="shared" si="11"/>
        <v>0</v>
      </c>
      <c r="M41" s="305" t="str">
        <f>K44</f>
        <v>Okayyy We Back</v>
      </c>
      <c r="N41" s="275"/>
      <c r="O41" s="284"/>
      <c r="P41" s="273"/>
      <c r="Q41" s="272"/>
      <c r="R41" s="271"/>
      <c r="S41" s="270"/>
      <c r="T41" s="269"/>
      <c r="V41" s="300">
        <v>13.0</v>
      </c>
      <c r="W41" s="264">
        <f>IFERROR(__xludf.DUMMYFUNCTION("""COMPUTED_VALUE"""),46097.0)</f>
        <v>46097</v>
      </c>
      <c r="X41" s="265" t="str">
        <f>IFERROR(__xludf.DUMMYFUNCTION("""COMPUTED_VALUE"""),"Parker")</f>
        <v>Parker</v>
      </c>
      <c r="Y41" s="266">
        <f>IFERROR(__xludf.DUMMYFUNCTION("""COMPUTED_VALUE"""),3.142857142857143)</f>
        <v>3.142857143</v>
      </c>
      <c r="Z41" s="266">
        <f>IFERROR(__xludf.DUMMYFUNCTION("""COMPUTED_VALUE"""),2.231499907401901)</f>
        <v>2.231499907</v>
      </c>
      <c r="AA41" s="266">
        <f>IFERROR(__xludf.DUMMYFUNCTION("""COMPUTED_VALUE"""),3.3333333333333335)</f>
        <v>3.333333333</v>
      </c>
      <c r="AB41" s="265" t="str">
        <f>IFERROR(__xludf.DUMMYFUNCTION("""COMPUTED_VALUE"""),"Metaverse")</f>
        <v>Metaverse</v>
      </c>
      <c r="AC41" s="267" t="str">
        <f>IFERROR(__xludf.DUMMYFUNCTION("""COMPUTED_VALUE"""),"Cage The Elephant")</f>
        <v>Cage The Elephant</v>
      </c>
    </row>
    <row r="42">
      <c r="A42" s="39" t="s">
        <v>398</v>
      </c>
      <c r="B42" s="269" t="s">
        <v>381</v>
      </c>
      <c r="C42" s="270"/>
      <c r="D42" s="271"/>
      <c r="E42" s="272" t="s">
        <v>382</v>
      </c>
      <c r="F42" s="273"/>
      <c r="G42" s="274"/>
      <c r="H42" s="275" t="s">
        <v>382</v>
      </c>
      <c r="I42" s="288" t="s">
        <v>468</v>
      </c>
      <c r="J42" s="38">
        <f t="shared" si="9"/>
        <v>3</v>
      </c>
      <c r="K42" s="302" t="str">
        <f t="shared" si="10"/>
        <v>Shiva</v>
      </c>
      <c r="L42" s="38">
        <f t="shared" si="11"/>
        <v>4</v>
      </c>
      <c r="M42" s="302" t="str">
        <f>K43</f>
        <v>Shiva</v>
      </c>
      <c r="N42" s="275"/>
      <c r="O42" s="274" t="s">
        <v>381</v>
      </c>
      <c r="P42" s="273" t="s">
        <v>382</v>
      </c>
      <c r="Q42" s="278"/>
      <c r="R42" s="271" t="s">
        <v>381</v>
      </c>
      <c r="S42" s="270" t="s">
        <v>381</v>
      </c>
      <c r="T42" s="269"/>
      <c r="V42" s="300">
        <v>7.0</v>
      </c>
      <c r="W42" s="264">
        <f>IFERROR(__xludf.DUMMYFUNCTION("""COMPUTED_VALUE"""),46099.0)</f>
        <v>46099</v>
      </c>
      <c r="X42" s="265" t="str">
        <f>IFERROR(__xludf.DUMMYFUNCTION("""COMPUTED_VALUE"""),"Giacomo")</f>
        <v>Giacomo</v>
      </c>
      <c r="Y42" s="266">
        <f>IFERROR(__xludf.DUMMYFUNCTION("""COMPUTED_VALUE"""),2.4285714285714284)</f>
        <v>2.428571429</v>
      </c>
      <c r="Z42" s="266">
        <f>IFERROR(__xludf.DUMMYFUNCTION("""COMPUTED_VALUE"""),1.4982983545287878)</f>
        <v>1.498298355</v>
      </c>
      <c r="AA42" s="266">
        <f>IFERROR(__xludf.DUMMYFUNCTION("""COMPUTED_VALUE"""),2.5)</f>
        <v>2.5</v>
      </c>
      <c r="AB42" s="265" t="str">
        <f>IFERROR(__xludf.DUMMYFUNCTION("""COMPUTED_VALUE"""),"Okayyy We Back")</f>
        <v>Okayyy We Back</v>
      </c>
      <c r="AC42" s="267" t="str">
        <f>IFERROR(__xludf.DUMMYFUNCTION("""COMPUTED_VALUE"""),"Andy Mineo, Mark Morrison")</f>
        <v>Andy Mineo, Mark Morrison</v>
      </c>
    </row>
    <row r="43">
      <c r="A43" s="289" t="s">
        <v>400</v>
      </c>
      <c r="B43" s="269" t="s">
        <v>381</v>
      </c>
      <c r="C43" s="270" t="s">
        <v>381</v>
      </c>
      <c r="D43" s="271" t="s">
        <v>381</v>
      </c>
      <c r="E43" s="272"/>
      <c r="F43" s="273"/>
      <c r="G43" s="274" t="s">
        <v>382</v>
      </c>
      <c r="H43" s="275"/>
      <c r="I43" s="302" t="s">
        <v>473</v>
      </c>
      <c r="J43" s="38">
        <f t="shared" si="9"/>
        <v>4</v>
      </c>
      <c r="K43" s="302" t="str">
        <f t="shared" si="10"/>
        <v>Shiva</v>
      </c>
      <c r="L43" s="38">
        <f t="shared" si="11"/>
        <v>3</v>
      </c>
      <c r="M43" s="302" t="s">
        <v>474</v>
      </c>
      <c r="N43" s="275" t="s">
        <v>382</v>
      </c>
      <c r="O43" s="274"/>
      <c r="P43" s="273" t="s">
        <v>382</v>
      </c>
      <c r="Q43" s="272" t="s">
        <v>382</v>
      </c>
      <c r="R43" s="271"/>
      <c r="S43" s="270"/>
      <c r="T43" s="269"/>
      <c r="V43" s="300">
        <v>6.0</v>
      </c>
      <c r="W43" s="264">
        <f>IFERROR(__xludf.DUMMYFUNCTION("""COMPUTED_VALUE"""),46101.0)</f>
        <v>46101</v>
      </c>
      <c r="X43" s="265" t="str">
        <f>IFERROR(__xludf.DUMMYFUNCTION("""COMPUTED_VALUE"""),"Rosey")</f>
        <v>Rosey</v>
      </c>
      <c r="Y43" s="266">
        <f>IFERROR(__xludf.DUMMYFUNCTION("""COMPUTED_VALUE"""),2.2857142857142856)</f>
        <v>2.285714286</v>
      </c>
      <c r="Z43" s="266">
        <f>IFERROR(__xludf.DUMMYFUNCTION("""COMPUTED_VALUE"""),1.749635530559413)</f>
        <v>1.749635531</v>
      </c>
      <c r="AA43" s="266">
        <f>IFERROR(__xludf.DUMMYFUNCTION("""COMPUTED_VALUE"""),2.5)</f>
        <v>2.5</v>
      </c>
      <c r="AB43" s="265" t="str">
        <f>IFERROR(__xludf.DUMMYFUNCTION("""COMPUTED_VALUE"""),"B.I.T.C.H.")</f>
        <v>B.I.T.C.H.</v>
      </c>
      <c r="AC43" s="267" t="str">
        <f>IFERROR(__xludf.DUMMYFUNCTION("""COMPUTED_VALUE"""),"Megan Thee Stallion")</f>
        <v>Megan Thee Stallion</v>
      </c>
    </row>
    <row r="44">
      <c r="A44" s="289" t="s">
        <v>403</v>
      </c>
      <c r="B44" s="269" t="s">
        <v>381</v>
      </c>
      <c r="C44" s="270"/>
      <c r="D44" s="271"/>
      <c r="E44" s="272"/>
      <c r="F44" s="273" t="s">
        <v>382</v>
      </c>
      <c r="G44" s="274" t="s">
        <v>382</v>
      </c>
      <c r="H44" s="275" t="s">
        <v>382</v>
      </c>
      <c r="I44" s="305" t="s">
        <v>475</v>
      </c>
      <c r="J44" s="38">
        <f t="shared" si="9"/>
        <v>4</v>
      </c>
      <c r="K44" s="305" t="str">
        <f t="shared" si="10"/>
        <v>Okayyy We Back</v>
      </c>
      <c r="L44" s="38">
        <f t="shared" si="11"/>
        <v>3</v>
      </c>
      <c r="M44" s="285" t="s">
        <v>476</v>
      </c>
      <c r="N44" s="275"/>
      <c r="O44" s="274"/>
      <c r="P44" s="282"/>
      <c r="Q44" s="272" t="s">
        <v>382</v>
      </c>
      <c r="R44" s="271" t="s">
        <v>381</v>
      </c>
      <c r="S44" s="270" t="s">
        <v>381</v>
      </c>
      <c r="T44" s="269"/>
      <c r="V44" s="300">
        <v>12.0</v>
      </c>
      <c r="W44" s="264">
        <f>IFERROR(__xludf.DUMMYFUNCTION("""COMPUTED_VALUE"""),46104.0)</f>
        <v>46104</v>
      </c>
      <c r="X44" s="265" t="str">
        <f>IFERROR(__xludf.DUMMYFUNCTION("""COMPUTED_VALUE"""),"Giacomo")</f>
        <v>Giacomo</v>
      </c>
      <c r="Y44" s="266">
        <f>IFERROR(__xludf.DUMMYFUNCTION("""COMPUTED_VALUE"""),3.0)</f>
        <v>3</v>
      </c>
      <c r="Z44" s="266">
        <f>IFERROR(__xludf.DUMMYFUNCTION("""COMPUTED_VALUE"""),1.6035674514745464)</f>
        <v>1.603567451</v>
      </c>
      <c r="AA44" s="266">
        <f>IFERROR(__xludf.DUMMYFUNCTION("""COMPUTED_VALUE"""),3.1666666666666665)</f>
        <v>3.166666667</v>
      </c>
      <c r="AB44" s="265" t="str">
        <f>IFERROR(__xludf.DUMMYFUNCTION("""COMPUTED_VALUE"""),"Layaway Luv")</f>
        <v>Layaway Luv</v>
      </c>
      <c r="AC44" s="267" t="str">
        <f>IFERROR(__xludf.DUMMYFUNCTION("""COMPUTED_VALUE"""),"Ariel")</f>
        <v>Ariel</v>
      </c>
    </row>
    <row r="45">
      <c r="A45" s="289" t="s">
        <v>409</v>
      </c>
      <c r="B45" s="269"/>
      <c r="C45" s="270"/>
      <c r="D45" s="283"/>
      <c r="E45" s="272"/>
      <c r="F45" s="273"/>
      <c r="G45" s="274"/>
      <c r="H45" s="275"/>
      <c r="I45" s="276" t="s">
        <v>35</v>
      </c>
      <c r="J45" s="38">
        <f t="shared" si="9"/>
        <v>0</v>
      </c>
      <c r="K45" s="302" t="str">
        <f t="shared" si="10"/>
        <v>Clockwork</v>
      </c>
      <c r="L45" s="38">
        <f t="shared" si="11"/>
        <v>7</v>
      </c>
      <c r="M45" s="302" t="s">
        <v>479</v>
      </c>
      <c r="N45" s="275" t="s">
        <v>382</v>
      </c>
      <c r="O45" s="274" t="s">
        <v>382</v>
      </c>
      <c r="P45" s="273" t="s">
        <v>382</v>
      </c>
      <c r="Q45" s="272" t="s">
        <v>382</v>
      </c>
      <c r="R45" s="271" t="s">
        <v>381</v>
      </c>
      <c r="S45" s="270" t="s">
        <v>381</v>
      </c>
      <c r="T45" s="269" t="s">
        <v>381</v>
      </c>
      <c r="V45" s="300">
        <v>11.0</v>
      </c>
      <c r="W45" s="264">
        <f>IFERROR(__xludf.DUMMYFUNCTION("""COMPUTED_VALUE"""),46106.0)</f>
        <v>46106</v>
      </c>
      <c r="X45" s="265" t="str">
        <f>IFERROR(__xludf.DUMMYFUNCTION("""COMPUTED_VALUE"""),"Weston")</f>
        <v>Weston</v>
      </c>
      <c r="Y45" s="266">
        <f>IFERROR(__xludf.DUMMYFUNCTION("""COMPUTED_VALUE"""),2.7142857142857144)</f>
        <v>2.714285714</v>
      </c>
      <c r="Z45" s="266">
        <f>IFERROR(__xludf.DUMMYFUNCTION("""COMPUTED_VALUE"""),2.0503857277724746)</f>
        <v>2.050385728</v>
      </c>
      <c r="AA45" s="266">
        <f>IFERROR(__xludf.DUMMYFUNCTION("""COMPUTED_VALUE"""),3.0)</f>
        <v>3</v>
      </c>
      <c r="AB45" s="265" t="str">
        <f>IFERROR(__xludf.DUMMYFUNCTION("""COMPUTED_VALUE"""),"Clockwork")</f>
        <v>Clockwork</v>
      </c>
      <c r="AC45" s="267" t="str">
        <f>IFERROR(__xludf.DUMMYFUNCTION("""COMPUTED_VALUE"""),"Autopilot Off")</f>
        <v>Autopilot Off</v>
      </c>
    </row>
    <row r="46">
      <c r="A46" s="289" t="s">
        <v>413</v>
      </c>
      <c r="B46" s="310"/>
      <c r="C46" s="311"/>
      <c r="D46" s="312"/>
      <c r="E46" s="313"/>
      <c r="F46" s="314" t="s">
        <v>382</v>
      </c>
      <c r="G46" s="315"/>
      <c r="H46" s="331" t="s">
        <v>382</v>
      </c>
      <c r="I46" s="333" t="s">
        <v>485</v>
      </c>
      <c r="J46" s="318">
        <f t="shared" si="9"/>
        <v>2</v>
      </c>
      <c r="K46" s="334" t="str">
        <f t="shared" si="10"/>
        <v>Layaway Luv</v>
      </c>
      <c r="L46" s="318">
        <f t="shared" si="11"/>
        <v>5</v>
      </c>
      <c r="M46" s="334" t="s">
        <v>486</v>
      </c>
      <c r="N46" s="321"/>
      <c r="O46" s="315" t="s">
        <v>382</v>
      </c>
      <c r="P46" s="322"/>
      <c r="Q46" s="313" t="s">
        <v>382</v>
      </c>
      <c r="R46" s="312" t="s">
        <v>381</v>
      </c>
      <c r="S46" s="311" t="s">
        <v>381</v>
      </c>
      <c r="T46" s="310" t="s">
        <v>381</v>
      </c>
      <c r="V46" s="300">
        <v>8.0</v>
      </c>
      <c r="W46" s="264">
        <f>IFERROR(__xludf.DUMMYFUNCTION("""COMPUTED_VALUE"""),46108.0)</f>
        <v>46108</v>
      </c>
      <c r="X46" s="265" t="str">
        <f>IFERROR(__xludf.DUMMYFUNCTION("""COMPUTED_VALUE"""),"Weston")</f>
        <v>Weston</v>
      </c>
      <c r="Y46" s="266">
        <f>IFERROR(__xludf.DUMMYFUNCTION("""COMPUTED_VALUE"""),2.4285714285714284)</f>
        <v>2.428571429</v>
      </c>
      <c r="Z46" s="266">
        <f>IFERROR(__xludf.DUMMYFUNCTION("""COMPUTED_VALUE"""),1.178030178747903)</f>
        <v>1.178030179</v>
      </c>
      <c r="AA46" s="266">
        <f>IFERROR(__xludf.DUMMYFUNCTION("""COMPUTED_VALUE"""),2.6666666666666665)</f>
        <v>2.666666667</v>
      </c>
      <c r="AB46" s="265" t="str">
        <f>IFERROR(__xludf.DUMMYFUNCTION("""COMPUTED_VALUE"""),"Shiva")</f>
        <v>Shiva</v>
      </c>
      <c r="AC46" s="267" t="str">
        <f>IFERROR(__xludf.DUMMYFUNCTION("""COMPUTED_VALUE"""),"Spillage Village, JID, Earthgang, Benji., Jurdan Bryant")</f>
        <v>Spillage Village, JID, Earthgang, Benji., Jurdan Bryant</v>
      </c>
    </row>
    <row r="47">
      <c r="A47" s="335" t="s">
        <v>418</v>
      </c>
      <c r="B47" s="269"/>
      <c r="C47" s="270" t="s">
        <v>381</v>
      </c>
      <c r="D47" s="271" t="s">
        <v>381</v>
      </c>
      <c r="E47" s="272" t="s">
        <v>382</v>
      </c>
      <c r="F47" s="273" t="s">
        <v>382</v>
      </c>
      <c r="G47" s="274"/>
      <c r="H47" s="275" t="s">
        <v>382</v>
      </c>
      <c r="I47" s="276" t="s">
        <v>489</v>
      </c>
      <c r="J47" s="38">
        <f t="shared" si="9"/>
        <v>5</v>
      </c>
      <c r="K47" s="276" t="str">
        <f t="shared" si="10"/>
        <v>Silver Springs</v>
      </c>
      <c r="L47" s="38">
        <f t="shared" si="11"/>
        <v>2</v>
      </c>
      <c r="M47" s="281" t="s">
        <v>491</v>
      </c>
      <c r="N47" s="286"/>
      <c r="O47" s="274" t="s">
        <v>382</v>
      </c>
      <c r="P47" s="282"/>
      <c r="Q47" s="272"/>
      <c r="R47" s="271"/>
      <c r="S47" s="270"/>
      <c r="T47" s="269" t="s">
        <v>381</v>
      </c>
      <c r="V47" s="300">
        <v>9.0</v>
      </c>
      <c r="W47" s="264">
        <f>IFERROR(__xludf.DUMMYFUNCTION("""COMPUTED_VALUE"""),46111.0)</f>
        <v>46111</v>
      </c>
      <c r="X47" s="265" t="str">
        <f>IFERROR(__xludf.DUMMYFUNCTION("""COMPUTED_VALUE"""),"Weston")</f>
        <v>Weston</v>
      </c>
      <c r="Y47" s="266">
        <f>IFERROR(__xludf.DUMMYFUNCTION("""COMPUTED_VALUE"""),2.5714285714285716)</f>
        <v>2.571428571</v>
      </c>
      <c r="Z47" s="266">
        <f>IFERROR(__xludf.DUMMYFUNCTION("""COMPUTED_VALUE"""),1.5907898179514348)</f>
        <v>1.590789818</v>
      </c>
      <c r="AA47" s="266">
        <f>IFERROR(__xludf.DUMMYFUNCTION("""COMPUTED_VALUE"""),2.8333333333333335)</f>
        <v>2.833333333</v>
      </c>
      <c r="AB47" s="265" t="str">
        <f>IFERROR(__xludf.DUMMYFUNCTION("""COMPUTED_VALUE"""),"Anna Sun")</f>
        <v>Anna Sun</v>
      </c>
      <c r="AC47" s="267" t="str">
        <f>IFERROR(__xludf.DUMMYFUNCTION("""COMPUTED_VALUE"""),"WALK THE MOON")</f>
        <v>WALK THE MOON</v>
      </c>
    </row>
    <row r="48">
      <c r="I48" s="234"/>
      <c r="J48" s="234"/>
      <c r="K48" s="234"/>
      <c r="L48" s="234"/>
      <c r="M48" s="234"/>
    </row>
    <row r="51">
      <c r="A51" s="29" t="s">
        <v>494</v>
      </c>
      <c r="V51" s="262" t="s">
        <v>367</v>
      </c>
      <c r="W51" s="262" t="s">
        <v>19</v>
      </c>
      <c r="X51" s="262" t="s">
        <v>16</v>
      </c>
      <c r="Y51" s="262" t="s">
        <v>75</v>
      </c>
      <c r="Z51" s="262" t="s">
        <v>76</v>
      </c>
      <c r="AA51" s="262" t="s">
        <v>78</v>
      </c>
      <c r="AB51" s="262" t="s">
        <v>368</v>
      </c>
      <c r="AC51" s="262" t="s">
        <v>82</v>
      </c>
      <c r="AD51" s="262" t="s">
        <v>88</v>
      </c>
      <c r="AE51" s="338"/>
    </row>
    <row r="52">
      <c r="A52" s="262" t="s">
        <v>369</v>
      </c>
      <c r="B52" s="262" t="s">
        <v>370</v>
      </c>
      <c r="C52" s="262" t="s">
        <v>371</v>
      </c>
      <c r="D52" s="262" t="s">
        <v>372</v>
      </c>
      <c r="E52" s="262" t="s">
        <v>373</v>
      </c>
      <c r="F52" s="262" t="s">
        <v>374</v>
      </c>
      <c r="G52" s="262" t="s">
        <v>51</v>
      </c>
      <c r="H52" s="29" t="s">
        <v>375</v>
      </c>
      <c r="I52" s="29" t="s">
        <v>376</v>
      </c>
      <c r="J52" s="29" t="s">
        <v>377</v>
      </c>
      <c r="K52" s="29" t="s">
        <v>21</v>
      </c>
      <c r="L52" s="29" t="s">
        <v>378</v>
      </c>
      <c r="M52" s="29" t="s">
        <v>379</v>
      </c>
      <c r="N52" s="29" t="s">
        <v>375</v>
      </c>
      <c r="O52" s="262" t="s">
        <v>51</v>
      </c>
      <c r="P52" s="262" t="s">
        <v>374</v>
      </c>
      <c r="Q52" s="262" t="s">
        <v>373</v>
      </c>
      <c r="R52" s="262" t="s">
        <v>372</v>
      </c>
      <c r="S52" s="262" t="s">
        <v>371</v>
      </c>
      <c r="T52" s="262" t="s">
        <v>370</v>
      </c>
      <c r="V52" s="298">
        <f t="shared" ref="V52:V64" si="13">RANK(AD52,AD$52:AD$64)</f>
        <v>9</v>
      </c>
      <c r="W52" s="264">
        <f>IFERROR(__xludf.DUMMYFUNCTION("FILTER(Rankings!D:J, Rankings!D:D &gt;= DATE(2026,4,1), Rankings!D:D &lt; DATE(2026,5,1), Rankings!U:U = TRUE)"),46113.0)</f>
        <v>46113</v>
      </c>
      <c r="X52" s="265" t="str">
        <f>IFERROR(__xludf.DUMMYFUNCTION("""COMPUTED_VALUE"""),"TTAC")</f>
        <v>TTAC</v>
      </c>
      <c r="Y52" s="266">
        <f>IFERROR(__xludf.DUMMYFUNCTION("""COMPUTED_VALUE"""),2.857142857142857)</f>
        <v>2.857142857</v>
      </c>
      <c r="Z52" s="266">
        <f>IFERROR(__xludf.DUMMYFUNCTION("""COMPUTED_VALUE"""),1.9587584572574412)</f>
        <v>1.958758457</v>
      </c>
      <c r="AA52" s="266">
        <f>IFERROR(__xludf.DUMMYFUNCTION("""COMPUTED_VALUE"""),3.1666666666666665)</f>
        <v>3.166666667</v>
      </c>
      <c r="AB52" s="265" t="str">
        <f>IFERROR(__xludf.DUMMYFUNCTION("""COMPUTED_VALUE"""),"Save It For Later")</f>
        <v>Save It For Later</v>
      </c>
      <c r="AC52" s="267" t="str">
        <f>IFERROR(__xludf.DUMMYFUNCTION("""COMPUTED_VALUE"""),"Eddie Vedder")</f>
        <v>Eddie Vedder</v>
      </c>
      <c r="AD52" s="257">
        <f>IF(ISBLANK(W52), "", RANK(Y52, Y$52:Y$64) + RANK(AA52, AA$52:AA$64)/10 + RANK(Z52, Z$52:Z$64)/100)</f>
        <v>5.42</v>
      </c>
    </row>
    <row r="53">
      <c r="A53" s="268" t="s">
        <v>380</v>
      </c>
      <c r="B53" s="269"/>
      <c r="C53" s="270" t="s">
        <v>381</v>
      </c>
      <c r="D53" s="271" t="s">
        <v>381</v>
      </c>
      <c r="E53" s="272"/>
      <c r="F53" s="273"/>
      <c r="G53" s="274" t="s">
        <v>382</v>
      </c>
      <c r="H53" s="275" t="s">
        <v>382</v>
      </c>
      <c r="I53" s="347" t="str">
        <f>K55</f>
        <v> Radio rio</v>
      </c>
      <c r="J53" s="38">
        <f t="shared" ref="J53:J64" si="14">COUNTIF(B53:H53,"x")</f>
        <v>4</v>
      </c>
      <c r="K53" s="277" t="str">
        <f t="shared" ref="K53:K64" si="15">IF(J53&gt;=4,I53,IF(L53&gt;=4,M53,"TBD"))</f>
        <v> Radio rio</v>
      </c>
      <c r="L53" s="38">
        <f t="shared" ref="L53:L64" si="16">COUNTIF(N53:T53,"x")</f>
        <v>0</v>
      </c>
      <c r="M53" s="182" t="str">
        <f>K54</f>
        <v>TBD</v>
      </c>
      <c r="N53" s="275"/>
      <c r="O53" s="274"/>
      <c r="P53" s="273"/>
      <c r="Q53" s="272"/>
      <c r="R53" s="271"/>
      <c r="S53" s="270"/>
      <c r="T53" s="269"/>
      <c r="V53" s="298">
        <f t="shared" si="13"/>
        <v>2</v>
      </c>
      <c r="W53" s="264">
        <f>IFERROR(__xludf.DUMMYFUNCTION("""COMPUTED_VALUE"""),46115.0)</f>
        <v>46115</v>
      </c>
      <c r="X53" s="265" t="str">
        <f>IFERROR(__xludf.DUMMYFUNCTION("""COMPUTED_VALUE"""),"Parker")</f>
        <v>Parker</v>
      </c>
      <c r="Y53" s="266">
        <f>IFERROR(__xludf.DUMMYFUNCTION("""COMPUTED_VALUE"""),1.8571428571428572)</f>
        <v>1.857142857</v>
      </c>
      <c r="Z53" s="266">
        <f>IFERROR(__xludf.DUMMYFUNCTION("""COMPUTED_VALUE"""),1.124858267715973)</f>
        <v>1.124858268</v>
      </c>
      <c r="AA53" s="266">
        <f>IFERROR(__xludf.DUMMYFUNCTION("""COMPUTED_VALUE"""),2.0)</f>
        <v>2</v>
      </c>
      <c r="AB53" s="265" t="str">
        <f>IFERROR(__xludf.DUMMYFUNCTION("""COMPUTED_VALUE"""),"Perfect Ten")</f>
        <v>Perfect Ten</v>
      </c>
      <c r="AC53" s="267" t="str">
        <f>IFERROR(__xludf.DUMMYFUNCTION("""COMPUTED_VALUE"""),"Mustard, Nipsey Hussle")</f>
        <v>Mustard, Nipsey Hussle</v>
      </c>
      <c r="AD53" s="257">
        <f>IF(ISBLANK(W53), "", RANK(Y53, Y$52:Y$64) + RANK(AA53, AA$52:AA$64)/10 + RANK(Z53, Z$52:Z$64)/100) + 0.01</f>
        <v>12.21</v>
      </c>
    </row>
    <row r="54">
      <c r="A54" s="268" t="s">
        <v>385</v>
      </c>
      <c r="B54" s="269"/>
      <c r="C54" s="270" t="s">
        <v>381</v>
      </c>
      <c r="D54" s="271"/>
      <c r="E54" s="272"/>
      <c r="F54" s="273" t="s">
        <v>382</v>
      </c>
      <c r="G54" s="274"/>
      <c r="H54" s="275" t="s">
        <v>382</v>
      </c>
      <c r="I54" s="348" t="str">
        <f t="shared" ref="I54:I55" si="17">K58</f>
        <v>Perfect Ten</v>
      </c>
      <c r="J54" s="38">
        <f t="shared" si="14"/>
        <v>3</v>
      </c>
      <c r="K54" s="38" t="str">
        <f t="shared" si="15"/>
        <v>TBD</v>
      </c>
      <c r="L54" s="38">
        <f t="shared" si="16"/>
        <v>3</v>
      </c>
      <c r="M54" s="349" t="str">
        <f>K57</f>
        <v>See You Later</v>
      </c>
      <c r="N54" s="275"/>
      <c r="O54" s="274" t="s">
        <v>382</v>
      </c>
      <c r="P54" s="273"/>
      <c r="Q54" s="272"/>
      <c r="R54" s="271" t="s">
        <v>381</v>
      </c>
      <c r="S54" s="270"/>
      <c r="T54" s="269" t="s">
        <v>381</v>
      </c>
      <c r="V54" s="298">
        <f t="shared" si="13"/>
        <v>3</v>
      </c>
      <c r="W54" s="264">
        <f>IFERROR(__xludf.DUMMYFUNCTION("""COMPUTED_VALUE"""),46118.0)</f>
        <v>46118</v>
      </c>
      <c r="X54" s="265" t="str">
        <f>IFERROR(__xludf.DUMMYFUNCTION("""COMPUTED_VALUE"""),"Flocco")</f>
        <v>Flocco</v>
      </c>
      <c r="Y54" s="266">
        <f>IFERROR(__xludf.DUMMYFUNCTION("""COMPUTED_VALUE"""),1.8571428571428572)</f>
        <v>1.857142857</v>
      </c>
      <c r="Z54" s="266">
        <f>IFERROR(__xludf.DUMMYFUNCTION("""COMPUTED_VALUE"""),1.124858267715973)</f>
        <v>1.124858268</v>
      </c>
      <c r="AA54" s="266">
        <f>IFERROR(__xludf.DUMMYFUNCTION("""COMPUTED_VALUE"""),2.0)</f>
        <v>2</v>
      </c>
      <c r="AB54" s="265" t="str">
        <f>IFERROR(__xludf.DUMMYFUNCTION("""COMPUTED_VALUE"""),"How Will I Know")</f>
        <v>How Will I Know</v>
      </c>
      <c r="AC54" s="267" t="str">
        <f>IFERROR(__xludf.DUMMYFUNCTION("""COMPUTED_VALUE""")," Whitney Houston")</f>
        <v> Whitney Houston</v>
      </c>
      <c r="AD54" s="257">
        <f t="shared" ref="AD54:AD64" si="18">IF(ISBLANK(W54), "", RANK(Y54, Y$52:Y$64) + RANK(AA54, AA$52:AA$64)/10 + RANK(Z54, Z$52:Z$64)/100)</f>
        <v>12.2</v>
      </c>
    </row>
    <row r="55">
      <c r="A55" s="268" t="s">
        <v>389</v>
      </c>
      <c r="B55" s="269"/>
      <c r="C55" s="270" t="s">
        <v>381</v>
      </c>
      <c r="D55" s="271" t="s">
        <v>381</v>
      </c>
      <c r="E55" s="272" t="s">
        <v>382</v>
      </c>
      <c r="F55" s="273"/>
      <c r="G55" s="274" t="s">
        <v>381</v>
      </c>
      <c r="H55" s="275"/>
      <c r="I55" s="347" t="str">
        <f t="shared" si="17"/>
        <v> Radio rio</v>
      </c>
      <c r="J55" s="38">
        <f t="shared" si="14"/>
        <v>4</v>
      </c>
      <c r="K55" s="277" t="str">
        <f t="shared" si="15"/>
        <v> Radio rio</v>
      </c>
      <c r="L55" s="38">
        <f t="shared" si="16"/>
        <v>3</v>
      </c>
      <c r="M55" s="347" t="str">
        <f>K56</f>
        <v> Roommates</v>
      </c>
      <c r="N55" s="275" t="s">
        <v>382</v>
      </c>
      <c r="O55" s="274"/>
      <c r="P55" s="273" t="s">
        <v>382</v>
      </c>
      <c r="Q55" s="272"/>
      <c r="R55" s="271"/>
      <c r="S55" s="270"/>
      <c r="T55" s="269" t="s">
        <v>381</v>
      </c>
      <c r="V55" s="298">
        <f t="shared" si="13"/>
        <v>4</v>
      </c>
      <c r="W55" s="264">
        <f>IFERROR(__xludf.DUMMYFUNCTION("""COMPUTED_VALUE"""),46120.0)</f>
        <v>46120</v>
      </c>
      <c r="X55" s="265" t="str">
        <f>IFERROR(__xludf.DUMMYFUNCTION("""COMPUTED_VALUE"""),"Rosey")</f>
        <v>Rosey</v>
      </c>
      <c r="Y55" s="266">
        <f>IFERROR(__xludf.DUMMYFUNCTION("""COMPUTED_VALUE"""),2.0)</f>
        <v>2</v>
      </c>
      <c r="Z55" s="266">
        <f>IFERROR(__xludf.DUMMYFUNCTION("""COMPUTED_VALUE"""),1.0690449676496976)</f>
        <v>1.069044968</v>
      </c>
      <c r="AA55" s="266">
        <f>IFERROR(__xludf.DUMMYFUNCTION("""COMPUTED_VALUE"""),2.1666666666666665)</f>
        <v>2.166666667</v>
      </c>
      <c r="AB55" s="265" t="str">
        <f>IFERROR(__xludf.DUMMYFUNCTION("""COMPUTED_VALUE"""),"Superstar (feat. Matthew Santos)")</f>
        <v>Superstar (feat. Matthew Santos)</v>
      </c>
      <c r="AC55" s="267" t="str">
        <f>IFERROR(__xludf.DUMMYFUNCTION("""COMPUTED_VALUE"""),"Lupe Fiasco, Matthew Santos")</f>
        <v>Lupe Fiasco, Matthew Santos</v>
      </c>
      <c r="AD55" s="257">
        <f t="shared" si="18"/>
        <v>11.12</v>
      </c>
    </row>
    <row r="56">
      <c r="A56" s="39" t="s">
        <v>390</v>
      </c>
      <c r="B56" s="269"/>
      <c r="C56" s="270"/>
      <c r="D56" s="283"/>
      <c r="E56" s="272"/>
      <c r="F56" s="273" t="s">
        <v>382</v>
      </c>
      <c r="G56" s="284"/>
      <c r="H56" s="275"/>
      <c r="I56" s="352" t="str">
        <f>K64</f>
        <v>Superstar (feat. Matthew Santos)</v>
      </c>
      <c r="J56" s="38">
        <f t="shared" si="14"/>
        <v>1</v>
      </c>
      <c r="K56" s="277" t="str">
        <f t="shared" si="15"/>
        <v> Roommates</v>
      </c>
      <c r="L56" s="38">
        <f t="shared" si="16"/>
        <v>5</v>
      </c>
      <c r="M56" s="347" t="str">
        <f>K63</f>
        <v> Roommates</v>
      </c>
      <c r="N56" s="275" t="s">
        <v>382</v>
      </c>
      <c r="O56" s="274" t="s">
        <v>382</v>
      </c>
      <c r="P56" s="273"/>
      <c r="Q56" s="278"/>
      <c r="R56" s="271" t="s">
        <v>381</v>
      </c>
      <c r="S56" s="270" t="s">
        <v>381</v>
      </c>
      <c r="T56" s="269" t="s">
        <v>381</v>
      </c>
      <c r="V56" s="298">
        <f t="shared" si="13"/>
        <v>1</v>
      </c>
      <c r="W56" s="264">
        <f>IFERROR(__xludf.DUMMYFUNCTION("""COMPUTED_VALUE"""),46122.0)</f>
        <v>46122</v>
      </c>
      <c r="X56" s="265" t="str">
        <f>IFERROR(__xludf.DUMMYFUNCTION("""COMPUTED_VALUE"""),"Flocco")</f>
        <v>Flocco</v>
      </c>
      <c r="Y56" s="266">
        <f>IFERROR(__xludf.DUMMYFUNCTION("""COMPUTED_VALUE"""),1.7142857142857142)</f>
        <v>1.714285714</v>
      </c>
      <c r="Z56" s="266">
        <f>IFERROR(__xludf.DUMMYFUNCTION("""COMPUTED_VALUE"""),0.8806305718527109)</f>
        <v>0.8806305719</v>
      </c>
      <c r="AA56" s="266">
        <f>IFERROR(__xludf.DUMMYFUNCTION("""COMPUTED_VALUE"""),1.8333333333333333)</f>
        <v>1.833333333</v>
      </c>
      <c r="AB56" s="265" t="str">
        <f>IFERROR(__xludf.DUMMYFUNCTION("""COMPUTED_VALUE""")," Radio rio")</f>
        <v> Radio rio</v>
      </c>
      <c r="AC56" s="267" t="str">
        <f>IFERROR(__xludf.DUMMYFUNCTION("""COMPUTED_VALUE""")," Masayoshi takanaka")</f>
        <v> Masayoshi takanaka</v>
      </c>
      <c r="AD56" s="257">
        <f t="shared" si="18"/>
        <v>14.43</v>
      </c>
    </row>
    <row r="57">
      <c r="A57" s="39" t="s">
        <v>393</v>
      </c>
      <c r="B57" s="269" t="s">
        <v>381</v>
      </c>
      <c r="C57" s="270"/>
      <c r="D57" s="271"/>
      <c r="E57" s="272"/>
      <c r="F57" s="273" t="s">
        <v>382</v>
      </c>
      <c r="G57" s="274"/>
      <c r="H57" s="275" t="s">
        <v>382</v>
      </c>
      <c r="I57" s="347" t="str">
        <f>IFERROR(__xludf.DUMMYFUNCTION("FILTER(AB$52:AB$64, V$52:V$64=INT(MID(A57,6,1)))"),"How Will I Know")</f>
        <v>How Will I Know</v>
      </c>
      <c r="J57" s="38">
        <f t="shared" si="14"/>
        <v>3</v>
      </c>
      <c r="K57" s="305" t="str">
        <f t="shared" si="15"/>
        <v>See You Later</v>
      </c>
      <c r="L57" s="38">
        <f t="shared" si="16"/>
        <v>4</v>
      </c>
      <c r="M57" s="349" t="str">
        <f>K62</f>
        <v>See You Later</v>
      </c>
      <c r="N57" s="275"/>
      <c r="O57" s="274" t="s">
        <v>382</v>
      </c>
      <c r="P57" s="273"/>
      <c r="Q57" s="272" t="s">
        <v>382</v>
      </c>
      <c r="R57" s="271" t="s">
        <v>381</v>
      </c>
      <c r="S57" s="270" t="s">
        <v>381</v>
      </c>
      <c r="T57" s="269"/>
      <c r="V57" s="298">
        <f t="shared" si="13"/>
        <v>10</v>
      </c>
      <c r="W57" s="264">
        <f>IFERROR(__xludf.DUMMYFUNCTION("""COMPUTED_VALUE"""),46125.0)</f>
        <v>46125</v>
      </c>
      <c r="X57" s="265" t="str">
        <f>IFERROR(__xludf.DUMMYFUNCTION("""COMPUTED_VALUE"""),"Weston")</f>
        <v>Weston</v>
      </c>
      <c r="Y57" s="266">
        <f>IFERROR(__xludf.DUMMYFUNCTION("""COMPUTED_VALUE"""),3.0)</f>
        <v>3</v>
      </c>
      <c r="Z57" s="266">
        <f>IFERROR(__xludf.DUMMYFUNCTION("""COMPUTED_VALUE"""),1.927248223318863)</f>
        <v>1.927248223</v>
      </c>
      <c r="AA57" s="266">
        <f>IFERROR(__xludf.DUMMYFUNCTION("""COMPUTED_VALUE"""),3.3333333333333335)</f>
        <v>3.333333333</v>
      </c>
      <c r="AB57" s="265" t="str">
        <f>IFERROR(__xludf.DUMMYFUNCTION("""COMPUTED_VALUE"""),"Don't you lie")</f>
        <v>Don't you lie</v>
      </c>
      <c r="AC57" s="267" t="str">
        <f>IFERROR(__xludf.DUMMYFUNCTION("""COMPUTED_VALUE"""),"Offset")</f>
        <v>Offset</v>
      </c>
      <c r="AD57" s="257">
        <f t="shared" si="18"/>
        <v>4.33</v>
      </c>
    </row>
    <row r="58">
      <c r="A58" s="39" t="s">
        <v>394</v>
      </c>
      <c r="B58" s="269" t="s">
        <v>381</v>
      </c>
      <c r="C58" s="270" t="s">
        <v>381</v>
      </c>
      <c r="D58" s="271" t="s">
        <v>381</v>
      </c>
      <c r="E58" s="272"/>
      <c r="F58" s="273" t="s">
        <v>382</v>
      </c>
      <c r="G58" s="274" t="s">
        <v>382</v>
      </c>
      <c r="H58" s="275" t="s">
        <v>382</v>
      </c>
      <c r="I58" s="348" t="str">
        <f>IFERROR(__xludf.DUMMYFUNCTION("FILTER(AB$52:AB$64, V$52:V$64=INT(MID(A58,6,1)))"),"Perfect Ten")</f>
        <v>Perfect Ten</v>
      </c>
      <c r="J58" s="38">
        <f t="shared" si="14"/>
        <v>6</v>
      </c>
      <c r="K58" s="281" t="str">
        <f t="shared" si="15"/>
        <v>Perfect Ten</v>
      </c>
      <c r="L58" s="38">
        <f t="shared" si="16"/>
        <v>0</v>
      </c>
      <c r="M58" s="353" t="str">
        <f>K61</f>
        <v>Space</v>
      </c>
      <c r="N58" s="275"/>
      <c r="O58" s="284"/>
      <c r="P58" s="273"/>
      <c r="Q58" s="272"/>
      <c r="R58" s="271"/>
      <c r="S58" s="270"/>
      <c r="T58" s="269"/>
      <c r="V58" s="298">
        <f t="shared" si="13"/>
        <v>7</v>
      </c>
      <c r="W58" s="264">
        <f>IFERROR(__xludf.DUMMYFUNCTION("""COMPUTED_VALUE"""),46127.0)</f>
        <v>46127</v>
      </c>
      <c r="X58" s="265" t="str">
        <f>IFERROR(__xludf.DUMMYFUNCTION("""COMPUTED_VALUE"""),"Rosey")</f>
        <v>Rosey</v>
      </c>
      <c r="Y58" s="266">
        <f>IFERROR(__xludf.DUMMYFUNCTION("""COMPUTED_VALUE"""),2.5714285714285716)</f>
        <v>2.571428571</v>
      </c>
      <c r="Z58" s="266">
        <f>IFERROR(__xludf.DUMMYFUNCTION("""COMPUTED_VALUE"""),1.178030178747903)</f>
        <v>1.178030179</v>
      </c>
      <c r="AA58" s="266">
        <f>IFERROR(__xludf.DUMMYFUNCTION("""COMPUTED_VALUE"""),2.6666666666666665)</f>
        <v>2.666666667</v>
      </c>
      <c r="AB58" s="265" t="str">
        <f>IFERROR(__xludf.DUMMYFUNCTION("""COMPUTED_VALUE"""),"Space")</f>
        <v>Space</v>
      </c>
      <c r="AC58" s="267" t="str">
        <f>IFERROR(__xludf.DUMMYFUNCTION("""COMPUTED_VALUE"""),"French Fuse")</f>
        <v>French Fuse</v>
      </c>
      <c r="AD58" s="257">
        <f t="shared" si="18"/>
        <v>7.79</v>
      </c>
    </row>
    <row r="59">
      <c r="A59" s="39" t="s">
        <v>398</v>
      </c>
      <c r="B59" s="269" t="s">
        <v>381</v>
      </c>
      <c r="C59" s="270" t="s">
        <v>381</v>
      </c>
      <c r="D59" s="271" t="s">
        <v>381</v>
      </c>
      <c r="E59" s="272"/>
      <c r="F59" s="273"/>
      <c r="G59" s="274" t="s">
        <v>382</v>
      </c>
      <c r="H59" s="275" t="s">
        <v>381</v>
      </c>
      <c r="I59" s="347" t="str">
        <f>IFERROR(__xludf.DUMMYFUNCTION("FILTER(AB$52:AB$64, V$52:V$64=INT(MID(A59,6,1)))")," Radio rio")</f>
        <v> Radio rio</v>
      </c>
      <c r="J59" s="38">
        <f t="shared" si="14"/>
        <v>5</v>
      </c>
      <c r="K59" s="277" t="str">
        <f t="shared" si="15"/>
        <v> Radio rio</v>
      </c>
      <c r="L59" s="38">
        <f t="shared" si="16"/>
        <v>1</v>
      </c>
      <c r="M59" s="347" t="str">
        <f>K60</f>
        <v> Bad dreams</v>
      </c>
      <c r="N59" s="275"/>
      <c r="O59" s="274"/>
      <c r="P59" s="273" t="s">
        <v>382</v>
      </c>
      <c r="Q59" s="278"/>
      <c r="R59" s="271"/>
      <c r="S59" s="270"/>
      <c r="T59" s="269"/>
      <c r="V59" s="298">
        <f t="shared" si="13"/>
        <v>12</v>
      </c>
      <c r="W59" s="264">
        <f>IFERROR(__xludf.DUMMYFUNCTION("""COMPUTED_VALUE"""),46129.0)</f>
        <v>46129</v>
      </c>
      <c r="X59" s="265" t="str">
        <f>IFERROR(__xludf.DUMMYFUNCTION("""COMPUTED_VALUE"""),"Parker")</f>
        <v>Parker</v>
      </c>
      <c r="Y59" s="266">
        <f>IFERROR(__xludf.DUMMYFUNCTION("""COMPUTED_VALUE"""),3.2857142857142856)</f>
        <v>3.285714286</v>
      </c>
      <c r="Z59" s="266">
        <f>IFERROR(__xludf.DUMMYFUNCTION("""COMPUTED_VALUE"""),1.665986255670086)</f>
        <v>1.665986256</v>
      </c>
      <c r="AA59" s="266">
        <f>IFERROR(__xludf.DUMMYFUNCTION("""COMPUTED_VALUE"""),3.1666666666666665)</f>
        <v>3.166666667</v>
      </c>
      <c r="AB59" s="265" t="str">
        <f>IFERROR(__xludf.DUMMYFUNCTION("""COMPUTED_VALUE"""),"Meat")</f>
        <v>Meat</v>
      </c>
      <c r="AC59" s="267" t="str">
        <f>IFERROR(__xludf.DUMMYFUNCTION("""COMPUTED_VALUE"""),"2Slimey")</f>
        <v>2Slimey</v>
      </c>
      <c r="AD59" s="257">
        <f t="shared" si="18"/>
        <v>2.48</v>
      </c>
    </row>
    <row r="60">
      <c r="A60" s="289" t="s">
        <v>400</v>
      </c>
      <c r="B60" s="269" t="s">
        <v>381</v>
      </c>
      <c r="C60" s="270"/>
      <c r="D60" s="271"/>
      <c r="E60" s="272" t="s">
        <v>382</v>
      </c>
      <c r="F60" s="273" t="s">
        <v>382</v>
      </c>
      <c r="G60" s="274"/>
      <c r="H60" s="275" t="s">
        <v>382</v>
      </c>
      <c r="I60" s="347" t="str">
        <f>IFERROR(__xludf.DUMMYFUNCTION("FILTER(AB$52:AB$64, V$52:V$64=INT(MID(A60,6,1)))")," Bad dreams")</f>
        <v> Bad dreams</v>
      </c>
      <c r="J60" s="38">
        <f t="shared" si="14"/>
        <v>4</v>
      </c>
      <c r="K60" s="277" t="str">
        <f t="shared" si="15"/>
        <v> Bad dreams</v>
      </c>
      <c r="L60" s="38">
        <f t="shared" si="16"/>
        <v>3</v>
      </c>
      <c r="M60" s="354" t="str">
        <f>IFERROR(__xludf.DUMMYFUNCTION("FILTER(AB$52:AB$64, V$52:V$64=INT(RIGHT(A60,1)))"),"Save It For Later")</f>
        <v>Save It For Later</v>
      </c>
      <c r="N60" s="275"/>
      <c r="O60" s="274" t="s">
        <v>382</v>
      </c>
      <c r="P60" s="273"/>
      <c r="Q60" s="272"/>
      <c r="R60" s="271" t="s">
        <v>381</v>
      </c>
      <c r="S60" s="270" t="s">
        <v>381</v>
      </c>
      <c r="T60" s="269"/>
      <c r="V60" s="298">
        <f t="shared" si="13"/>
        <v>11</v>
      </c>
      <c r="W60" s="264">
        <f>IFERROR(__xludf.DUMMYFUNCTION("""COMPUTED_VALUE"""),46132.0)</f>
        <v>46132</v>
      </c>
      <c r="X60" s="265" t="str">
        <f>IFERROR(__xludf.DUMMYFUNCTION("""COMPUTED_VALUE"""),"Giacomo")</f>
        <v>Giacomo</v>
      </c>
      <c r="Y60" s="266">
        <f>IFERROR(__xludf.DUMMYFUNCTION("""COMPUTED_VALUE"""),3.142857142857143)</f>
        <v>3.142857143</v>
      </c>
      <c r="Z60" s="266">
        <f>IFERROR(__xludf.DUMMYFUNCTION("""COMPUTED_VALUE"""),1.8070158058105026)</f>
        <v>1.807015806</v>
      </c>
      <c r="AA60" s="266">
        <f>IFERROR(__xludf.DUMMYFUNCTION("""COMPUTED_VALUE"""),3.5)</f>
        <v>3.5</v>
      </c>
      <c r="AB60" s="265" t="str">
        <f>IFERROR(__xludf.DUMMYFUNCTION("""COMPUTED_VALUE"""),"See You Later")</f>
        <v>See You Later</v>
      </c>
      <c r="AC60" s="267" t="str">
        <f>IFERROR(__xludf.DUMMYFUNCTION("""COMPUTED_VALUE"""),"Terrace Martin, Kenyon Dixon")</f>
        <v>Terrace Martin, Kenyon Dixon</v>
      </c>
      <c r="AD60" s="257">
        <f t="shared" si="18"/>
        <v>3.25</v>
      </c>
    </row>
    <row r="61">
      <c r="A61" s="289" t="s">
        <v>403</v>
      </c>
      <c r="B61" s="269" t="s">
        <v>381</v>
      </c>
      <c r="C61" s="270" t="s">
        <v>381</v>
      </c>
      <c r="D61" s="271"/>
      <c r="E61" s="272"/>
      <c r="F61" s="273" t="s">
        <v>382</v>
      </c>
      <c r="G61" s="274"/>
      <c r="H61" s="275" t="s">
        <v>382</v>
      </c>
      <c r="I61" s="353" t="str">
        <f>IFERROR(__xludf.DUMMYFUNCTION("FILTER(AB$52:AB$64, V$52:V$64=INT(MID(A61,6,1)))"),"Space")</f>
        <v>Space</v>
      </c>
      <c r="J61" s="38">
        <f t="shared" si="14"/>
        <v>4</v>
      </c>
      <c r="K61" s="276" t="str">
        <f t="shared" si="15"/>
        <v>Space</v>
      </c>
      <c r="L61" s="38">
        <f t="shared" si="16"/>
        <v>2</v>
      </c>
      <c r="M61" s="355" t="str">
        <f>IFERROR(__xludf.DUMMYFUNCTION("FILTER(AB$52:AB$64, V$52:V$64=INT(RIGHT(A61,2)))"),"Don't you lie")</f>
        <v>Don't you lie</v>
      </c>
      <c r="N61" s="275"/>
      <c r="O61" s="274" t="s">
        <v>382</v>
      </c>
      <c r="P61" s="282"/>
      <c r="Q61" s="272"/>
      <c r="R61" s="271" t="s">
        <v>381</v>
      </c>
      <c r="S61" s="270"/>
      <c r="T61" s="269"/>
      <c r="V61" s="298">
        <f t="shared" si="13"/>
        <v>8</v>
      </c>
      <c r="W61" s="264">
        <f>IFERROR(__xludf.DUMMYFUNCTION("""COMPUTED_VALUE"""),46134.0)</f>
        <v>46134</v>
      </c>
      <c r="X61" s="265" t="str">
        <f>IFERROR(__xludf.DUMMYFUNCTION("""COMPUTED_VALUE"""),"Flocco")</f>
        <v>Flocco</v>
      </c>
      <c r="Y61" s="266">
        <f>IFERROR(__xludf.DUMMYFUNCTION("""COMPUTED_VALUE"""),2.857142857142857)</f>
        <v>2.857142857</v>
      </c>
      <c r="Z61" s="266">
        <f>IFERROR(__xludf.DUMMYFUNCTION("""COMPUTED_VALUE"""),1.8070158058105026)</f>
        <v>1.807015806</v>
      </c>
      <c r="AA61" s="266">
        <f>IFERROR(__xludf.DUMMYFUNCTION("""COMPUTED_VALUE"""),3.1666666666666665)</f>
        <v>3.166666667</v>
      </c>
      <c r="AB61" s="265" t="str">
        <f>IFERROR(__xludf.DUMMYFUNCTION("""COMPUTED_VALUE""")," Bad dreams")</f>
        <v> Bad dreams</v>
      </c>
      <c r="AC61" s="267" t="str">
        <f>IFERROR(__xludf.DUMMYFUNCTION("""COMPUTED_VALUE""")," Teddy swims")</f>
        <v> Teddy swims</v>
      </c>
      <c r="AD61" s="257">
        <f t="shared" si="18"/>
        <v>5.45</v>
      </c>
    </row>
    <row r="62">
      <c r="A62" s="289" t="s">
        <v>409</v>
      </c>
      <c r="B62" s="269"/>
      <c r="C62" s="270"/>
      <c r="D62" s="283"/>
      <c r="E62" s="272"/>
      <c r="F62" s="273" t="s">
        <v>382</v>
      </c>
      <c r="G62" s="274" t="s">
        <v>382</v>
      </c>
      <c r="H62" s="275" t="s">
        <v>382</v>
      </c>
      <c r="I62" s="355" t="str">
        <f>IFERROR(__xludf.DUMMYFUNCTION("FILTER(AB$52:AB$64, V$52:V$64=INT(MID(A62,6,1)))"),"Dirty Cigarettes ")</f>
        <v>Dirty Cigarettes </v>
      </c>
      <c r="J62" s="38">
        <f t="shared" si="14"/>
        <v>3</v>
      </c>
      <c r="K62" s="305" t="str">
        <f t="shared" si="15"/>
        <v>See You Later</v>
      </c>
      <c r="L62" s="38">
        <f t="shared" si="16"/>
        <v>4</v>
      </c>
      <c r="M62" s="349" t="str">
        <f>IFERROR(__xludf.DUMMYFUNCTION("FILTER(AB$52:AB$64, V$52:V$64=INT(RIGHT(A62,2)))"),"See You Later")</f>
        <v>See You Later</v>
      </c>
      <c r="N62" s="275"/>
      <c r="O62" s="274"/>
      <c r="P62" s="273"/>
      <c r="Q62" s="272" t="s">
        <v>382</v>
      </c>
      <c r="R62" s="271" t="s">
        <v>381</v>
      </c>
      <c r="S62" s="270" t="s">
        <v>381</v>
      </c>
      <c r="T62" s="269" t="s">
        <v>381</v>
      </c>
      <c r="V62" s="298">
        <f t="shared" si="13"/>
        <v>13</v>
      </c>
      <c r="W62" s="264">
        <f>IFERROR(__xludf.DUMMYFUNCTION("""COMPUTED_VALUE"""),46136.0)</f>
        <v>46136</v>
      </c>
      <c r="X62" s="265" t="str">
        <f>IFERROR(__xludf.DUMMYFUNCTION("""COMPUTED_VALUE"""),"Parker")</f>
        <v>Parker</v>
      </c>
      <c r="Y62" s="266">
        <f>IFERROR(__xludf.DUMMYFUNCTION("""COMPUTED_VALUE"""),3.5714285714285716)</f>
        <v>3.571428571</v>
      </c>
      <c r="Z62" s="266">
        <f>IFERROR(__xludf.DUMMYFUNCTION("""COMPUTED_VALUE"""),1.9166296949998198)</f>
        <v>1.916629695</v>
      </c>
      <c r="AA62" s="266">
        <f>IFERROR(__xludf.DUMMYFUNCTION("""COMPUTED_VALUE"""),4.0)</f>
        <v>4</v>
      </c>
      <c r="AB62" s="265" t="str">
        <f>IFERROR(__xludf.DUMMYFUNCTION("""COMPUTED_VALUE"""),"Curame")</f>
        <v>Curame</v>
      </c>
      <c r="AC62" s="267" t="str">
        <f>IFERROR(__xludf.DUMMYFUNCTION("""COMPUTED_VALUE"""),"Rauw Alejandro")</f>
        <v>Rauw Alejandro</v>
      </c>
      <c r="AD62" s="257">
        <f t="shared" si="18"/>
        <v>1.14</v>
      </c>
    </row>
    <row r="63">
      <c r="A63" s="289" t="s">
        <v>413</v>
      </c>
      <c r="B63" s="310" t="s">
        <v>381</v>
      </c>
      <c r="C63" s="311" t="s">
        <v>381</v>
      </c>
      <c r="D63" s="312" t="s">
        <v>381</v>
      </c>
      <c r="E63" s="313"/>
      <c r="F63" s="314" t="s">
        <v>382</v>
      </c>
      <c r="G63" s="315" t="s">
        <v>382</v>
      </c>
      <c r="H63" s="331" t="s">
        <v>382</v>
      </c>
      <c r="I63" s="347" t="str">
        <f>IFERROR(__xludf.DUMMYFUNCTION("FILTER(AB$52:AB$64, V$52:V$64=INT(MID(A63,6,1)))")," Roommates")</f>
        <v> Roommates</v>
      </c>
      <c r="J63" s="318">
        <f t="shared" si="14"/>
        <v>6</v>
      </c>
      <c r="K63" s="358" t="str">
        <f t="shared" si="15"/>
        <v> Roommates</v>
      </c>
      <c r="L63" s="318">
        <f t="shared" si="16"/>
        <v>0</v>
      </c>
      <c r="M63" s="348" t="str">
        <f>IFERROR(__xludf.DUMMYFUNCTION("FILTER(AB$52:AB$64, V$52:V$64=INT(RIGHT(A63,2)))"),"Meat")</f>
        <v>Meat</v>
      </c>
      <c r="N63" s="321"/>
      <c r="O63" s="315"/>
      <c r="P63" s="322"/>
      <c r="Q63" s="313"/>
      <c r="R63" s="312"/>
      <c r="S63" s="311"/>
      <c r="T63" s="310"/>
      <c r="V63" s="298">
        <f t="shared" si="13"/>
        <v>6</v>
      </c>
      <c r="W63" s="264">
        <f>IFERROR(__xludf.DUMMYFUNCTION("""COMPUTED_VALUE"""),46139.0)</f>
        <v>46139</v>
      </c>
      <c r="X63" s="265" t="str">
        <f>IFERROR(__xludf.DUMMYFUNCTION("""COMPUTED_VALUE"""),"Weston")</f>
        <v>Weston</v>
      </c>
      <c r="Y63" s="266">
        <f>IFERROR(__xludf.DUMMYFUNCTION("""COMPUTED_VALUE"""),2.3333333333333335)</f>
        <v>2.333333333</v>
      </c>
      <c r="Z63" s="266">
        <f>IFERROR(__xludf.DUMMYFUNCTION("""COMPUTED_VALUE"""),2.1343747458109497)</f>
        <v>2.134374746</v>
      </c>
      <c r="AA63" s="266">
        <f>IFERROR(__xludf.DUMMYFUNCTION("""COMPUTED_VALUE"""),2.6)</f>
        <v>2.6</v>
      </c>
      <c r="AB63" s="265" t="str">
        <f>IFERROR(__xludf.DUMMYFUNCTION("""COMPUTED_VALUE"""),"Dirty Cigarettes ")</f>
        <v>Dirty Cigarettes </v>
      </c>
      <c r="AC63" s="267" t="str">
        <f>IFERROR(__xludf.DUMMYFUNCTION("""COMPUTED_VALUE"""),"Beach Slang")</f>
        <v>Beach Slang</v>
      </c>
      <c r="AD63" s="257">
        <f t="shared" si="18"/>
        <v>8.81</v>
      </c>
    </row>
    <row r="64">
      <c r="A64" s="335" t="s">
        <v>418</v>
      </c>
      <c r="B64" s="269" t="s">
        <v>381</v>
      </c>
      <c r="C64" s="270"/>
      <c r="D64" s="271" t="s">
        <v>381</v>
      </c>
      <c r="E64" s="272"/>
      <c r="F64" s="273" t="s">
        <v>382</v>
      </c>
      <c r="G64" s="274" t="s">
        <v>382</v>
      </c>
      <c r="H64" s="275" t="s">
        <v>382</v>
      </c>
      <c r="I64" s="353" t="str">
        <f>IFERROR(__xludf.DUMMYFUNCTION("FILTER(AB$52:AB$64, V$52:V$64=INT(MID(A64,6,1)))"),"Superstar (feat. Matthew Santos)")</f>
        <v>Superstar (feat. Matthew Santos)</v>
      </c>
      <c r="J64" s="38">
        <f t="shared" si="14"/>
        <v>5</v>
      </c>
      <c r="K64" s="276" t="str">
        <f t="shared" si="15"/>
        <v>Superstar (feat. Matthew Santos)</v>
      </c>
      <c r="L64" s="38">
        <f t="shared" si="16"/>
        <v>1</v>
      </c>
      <c r="M64" s="348" t="str">
        <f>IFERROR(__xludf.DUMMYFUNCTION("FILTER(AB$52:AB$64, V$52:V$64=INT(RIGHT(A64,2)))"),"Curame")</f>
        <v>Curame</v>
      </c>
      <c r="N64" s="286"/>
      <c r="O64" s="274"/>
      <c r="P64" s="282"/>
      <c r="Q64" s="272"/>
      <c r="R64" s="271"/>
      <c r="S64" s="270" t="s">
        <v>381</v>
      </c>
      <c r="T64" s="269"/>
      <c r="V64" s="298">
        <f t="shared" si="13"/>
        <v>5</v>
      </c>
      <c r="W64" s="264">
        <f>IFERROR(__xludf.DUMMYFUNCTION("""COMPUTED_VALUE"""),46141.0)</f>
        <v>46141</v>
      </c>
      <c r="X64" s="265" t="str">
        <f>IFERROR(__xludf.DUMMYFUNCTION("""COMPUTED_VALUE"""),"Flocco")</f>
        <v>Flocco</v>
      </c>
      <c r="Y64" s="266">
        <f>IFERROR(__xludf.DUMMYFUNCTION("""COMPUTED_VALUE"""),2.1666666666666665)</f>
        <v>2.166666667</v>
      </c>
      <c r="Z64" s="266">
        <f>IFERROR(__xludf.DUMMYFUNCTION("""COMPUTED_VALUE"""),1.7716909687891083)</f>
        <v>1.771690969</v>
      </c>
      <c r="AA64" s="266">
        <f>IFERROR(__xludf.DUMMYFUNCTION("""COMPUTED_VALUE"""),2.4)</f>
        <v>2.4</v>
      </c>
      <c r="AB64" s="265" t="str">
        <f>IFERROR(__xludf.DUMMYFUNCTION("""COMPUTED_VALUE""")," Roommates")</f>
        <v> Roommates</v>
      </c>
      <c r="AC64" s="267" t="str">
        <f>IFERROR(__xludf.DUMMYFUNCTION("""COMPUTED_VALUE""")," Malcolm Todd")</f>
        <v> Malcolm Todd</v>
      </c>
      <c r="AD64" s="257">
        <f t="shared" si="18"/>
        <v>9.97</v>
      </c>
    </row>
    <row r="65">
      <c r="I65" s="234"/>
      <c r="J65" s="234"/>
      <c r="K65" s="234"/>
      <c r="L65" s="234"/>
      <c r="M65" s="234"/>
    </row>
    <row r="66">
      <c r="I66" s="234"/>
      <c r="J66" s="234"/>
      <c r="K66" s="234"/>
      <c r="L66" s="234"/>
      <c r="M66" s="234"/>
    </row>
    <row r="67">
      <c r="I67" s="234"/>
      <c r="J67" s="234"/>
      <c r="K67" s="234"/>
      <c r="L67" s="234"/>
      <c r="M67" s="234"/>
    </row>
    <row r="68">
      <c r="A68" s="29" t="s">
        <v>537</v>
      </c>
      <c r="V68" s="262" t="s">
        <v>367</v>
      </c>
      <c r="W68" s="262" t="s">
        <v>19</v>
      </c>
      <c r="X68" s="262" t="s">
        <v>16</v>
      </c>
      <c r="Y68" s="262" t="s">
        <v>75</v>
      </c>
      <c r="Z68" s="262" t="s">
        <v>76</v>
      </c>
      <c r="AA68" s="262" t="s">
        <v>78</v>
      </c>
      <c r="AB68" s="262" t="s">
        <v>368</v>
      </c>
      <c r="AC68" s="262" t="s">
        <v>82</v>
      </c>
    </row>
    <row r="69">
      <c r="A69" s="262" t="s">
        <v>369</v>
      </c>
      <c r="B69" s="262" t="s">
        <v>370</v>
      </c>
      <c r="C69" s="262" t="s">
        <v>371</v>
      </c>
      <c r="D69" s="262" t="s">
        <v>372</v>
      </c>
      <c r="E69" s="262" t="s">
        <v>373</v>
      </c>
      <c r="F69" s="262" t="s">
        <v>374</v>
      </c>
      <c r="G69" s="262" t="s">
        <v>51</v>
      </c>
      <c r="H69" s="29" t="s">
        <v>375</v>
      </c>
      <c r="I69" s="29" t="s">
        <v>376</v>
      </c>
      <c r="J69" s="29" t="s">
        <v>377</v>
      </c>
      <c r="K69" s="29" t="s">
        <v>21</v>
      </c>
      <c r="L69" s="29" t="s">
        <v>378</v>
      </c>
      <c r="M69" s="29" t="s">
        <v>379</v>
      </c>
      <c r="N69" s="29" t="s">
        <v>375</v>
      </c>
      <c r="O69" s="262" t="s">
        <v>51</v>
      </c>
      <c r="P69" s="262" t="s">
        <v>374</v>
      </c>
      <c r="Q69" s="262" t="s">
        <v>373</v>
      </c>
      <c r="R69" s="262" t="s">
        <v>372</v>
      </c>
      <c r="S69" s="262" t="s">
        <v>371</v>
      </c>
      <c r="T69" s="262" t="s">
        <v>370</v>
      </c>
      <c r="V69" s="298">
        <f t="shared" ref="V69:V81" si="19">RANK(AD69,AD$69:AD$81)</f>
        <v>13</v>
      </c>
      <c r="W69" s="264">
        <f>IFERROR(__xludf.DUMMYFUNCTION("FILTER(Rankings!D:J, Rankings!D:D &gt;= DATE(2026,5,1), Rankings!D:D &lt; DATE(2026,6,1), Rankings!U:U = TRUE)"),46143.0)</f>
        <v>46143</v>
      </c>
      <c r="X69" s="265" t="str">
        <f>IFERROR(__xludf.DUMMYFUNCTION("""COMPUTED_VALUE"""),"Flocco")</f>
        <v>Flocco</v>
      </c>
      <c r="Y69" s="266">
        <f>IFERROR(__xludf.DUMMYFUNCTION("""COMPUTED_VALUE"""),2.8333333333333335)</f>
        <v>2.833333333</v>
      </c>
      <c r="Z69" s="266">
        <f>IFERROR(__xludf.DUMMYFUNCTION("""COMPUTED_VALUE"""),1.6749792701868151)</f>
        <v>1.67497927</v>
      </c>
      <c r="AA69" s="266">
        <f>IFERROR(__xludf.DUMMYFUNCTION("""COMPUTED_VALUE"""),3.2)</f>
        <v>3.2</v>
      </c>
      <c r="AB69" s="265" t="str">
        <f>IFERROR(__xludf.DUMMYFUNCTION("""COMPUTED_VALUE"""),"Red Red Wine")</f>
        <v>Red Red Wine</v>
      </c>
      <c r="AC69" s="267" t="str">
        <f>IFERROR(__xludf.DUMMYFUNCTION("""COMPUTED_VALUE""")," UB40")</f>
        <v> UB40</v>
      </c>
      <c r="AD69" s="257">
        <f t="shared" ref="AD69:AD81" si="20">IF(ISBLANK(W69), "", RANK(Y69, Y$69:Y$81) + RANK(AA69, AA$69:AA$81)/10 + RANK(Z69, Z$69:Z$81)/100)</f>
        <v>1.11</v>
      </c>
    </row>
    <row r="70">
      <c r="A70" s="268" t="s">
        <v>380</v>
      </c>
      <c r="B70" s="269"/>
      <c r="C70" s="270"/>
      <c r="D70" s="271"/>
      <c r="E70" s="272"/>
      <c r="F70" s="273"/>
      <c r="G70" s="274"/>
      <c r="H70" s="275"/>
      <c r="I70" s="182" t="str">
        <f>K72</f>
        <v>TBD</v>
      </c>
      <c r="J70" s="38">
        <f t="shared" ref="J70:J81" si="21">COUNTIF(B70:H70,"x")</f>
        <v>0</v>
      </c>
      <c r="K70" s="38" t="str">
        <f t="shared" ref="K70:K81" si="22">IF(J70&gt;=4,I70,IF(L70&gt;=4,M70,"TBD"))</f>
        <v>TBD</v>
      </c>
      <c r="L70" s="38">
        <f t="shared" ref="L70:L81" si="23">COUNTIF(N70:T70,"x")</f>
        <v>0</v>
      </c>
      <c r="M70" s="182" t="str">
        <f>K71</f>
        <v>TBD</v>
      </c>
      <c r="N70" s="275"/>
      <c r="O70" s="274"/>
      <c r="P70" s="273"/>
      <c r="Q70" s="272"/>
      <c r="R70" s="271"/>
      <c r="S70" s="270"/>
      <c r="T70" s="269"/>
      <c r="V70" s="298">
        <f t="shared" si="19"/>
        <v>6</v>
      </c>
      <c r="W70" s="264">
        <f>IFERROR(__xludf.DUMMYFUNCTION("""COMPUTED_VALUE"""),46146.0)</f>
        <v>46146</v>
      </c>
      <c r="X70" s="265" t="str">
        <f>IFERROR(__xludf.DUMMYFUNCTION("""COMPUTED_VALUE"""),"Weston")</f>
        <v>Weston</v>
      </c>
      <c r="Y70" s="266">
        <f>IFERROR(__xludf.DUMMYFUNCTION("""COMPUTED_VALUE"""),2.0)</f>
        <v>2</v>
      </c>
      <c r="Z70" s="266">
        <f>IFERROR(__xludf.DUMMYFUNCTION("""COMPUTED_VALUE"""),0.6324555320336759)</f>
        <v>0.632455532</v>
      </c>
      <c r="AA70" s="266">
        <f>IFERROR(__xludf.DUMMYFUNCTION("""COMPUTED_VALUE"""),2.0)</f>
        <v>2</v>
      </c>
      <c r="AB70" s="265" t="str">
        <f>IFERROR(__xludf.DUMMYFUNCTION("""COMPUTED_VALUE"""),"Out of Sight")</f>
        <v>Out of Sight</v>
      </c>
      <c r="AC70" s="267" t="str">
        <f>IFERROR(__xludf.DUMMYFUNCTION("""COMPUTED_VALUE"""),"Hundredth")</f>
        <v>Hundredth</v>
      </c>
      <c r="AD70" s="257">
        <f t="shared" si="20"/>
        <v>6.9</v>
      </c>
    </row>
    <row r="71">
      <c r="A71" s="268" t="s">
        <v>385</v>
      </c>
      <c r="B71" s="269"/>
      <c r="C71" s="270"/>
      <c r="D71" s="271"/>
      <c r="E71" s="272"/>
      <c r="F71" s="273"/>
      <c r="G71" s="274"/>
      <c r="H71" s="275"/>
      <c r="I71" s="349" t="str">
        <f t="shared" ref="I71:I72" si="24">K75</f>
        <v>She Knows Too Much</v>
      </c>
      <c r="J71" s="38">
        <f t="shared" si="21"/>
        <v>0</v>
      </c>
      <c r="K71" s="38" t="str">
        <f t="shared" si="22"/>
        <v>TBD</v>
      </c>
      <c r="L71" s="38">
        <f t="shared" si="23"/>
        <v>0</v>
      </c>
      <c r="M71" s="182" t="str">
        <f>K74</f>
        <v>TBD</v>
      </c>
      <c r="N71" s="275"/>
      <c r="O71" s="274"/>
      <c r="P71" s="273"/>
      <c r="Q71" s="272"/>
      <c r="R71" s="271"/>
      <c r="S71" s="270"/>
      <c r="T71" s="269"/>
      <c r="V71" s="298">
        <f t="shared" si="19"/>
        <v>5</v>
      </c>
      <c r="W71" s="264">
        <f>IFERROR(__xludf.DUMMYFUNCTION("""COMPUTED_VALUE"""),46148.0)</f>
        <v>46148</v>
      </c>
      <c r="X71" s="265" t="str">
        <f>IFERROR(__xludf.DUMMYFUNCTION("""COMPUTED_VALUE"""),"Parker")</f>
        <v>Parker</v>
      </c>
      <c r="Y71" s="266">
        <f>IFERROR(__xludf.DUMMYFUNCTION("""COMPUTED_VALUE"""),1.6)</f>
        <v>1.6</v>
      </c>
      <c r="Z71" s="266">
        <f>IFERROR(__xludf.DUMMYFUNCTION("""COMPUTED_VALUE"""),0.8)</f>
        <v>0.8</v>
      </c>
      <c r="AA71" s="266">
        <f>IFERROR(__xludf.DUMMYFUNCTION("""COMPUTED_VALUE"""),1.75)</f>
        <v>1.75</v>
      </c>
      <c r="AB71" s="265" t="str">
        <f>IFERROR(__xludf.DUMMYFUNCTION("""COMPUTED_VALUE"""),"Broken Bones")</f>
        <v>Broken Bones</v>
      </c>
      <c r="AC71" s="267" t="str">
        <f>IFERROR(__xludf.DUMMYFUNCTION("""COMPUTED_VALUE"""),"Anti-Flag")</f>
        <v>Anti-Flag</v>
      </c>
      <c r="AD71" s="257">
        <f t="shared" si="20"/>
        <v>9.98</v>
      </c>
    </row>
    <row r="72">
      <c r="A72" s="268" t="s">
        <v>389</v>
      </c>
      <c r="B72" s="269"/>
      <c r="C72" s="270"/>
      <c r="D72" s="271"/>
      <c r="E72" s="272"/>
      <c r="F72" s="273"/>
      <c r="G72" s="274"/>
      <c r="H72" s="275"/>
      <c r="I72" s="355" t="str">
        <f t="shared" si="24"/>
        <v>Good Bye Boogie Dance</v>
      </c>
      <c r="J72" s="38">
        <f t="shared" si="21"/>
        <v>0</v>
      </c>
      <c r="K72" s="38" t="str">
        <f t="shared" si="22"/>
        <v>TBD</v>
      </c>
      <c r="L72" s="38">
        <f t="shared" si="23"/>
        <v>0</v>
      </c>
      <c r="M72" s="182" t="str">
        <f>K73</f>
        <v>TBD</v>
      </c>
      <c r="N72" s="275"/>
      <c r="O72" s="274"/>
      <c r="P72" s="273"/>
      <c r="Q72" s="272"/>
      <c r="R72" s="271"/>
      <c r="S72" s="270"/>
      <c r="T72" s="269"/>
      <c r="V72" s="298">
        <f t="shared" si="19"/>
        <v>1</v>
      </c>
      <c r="W72" s="264">
        <f>IFERROR(__xludf.DUMMYFUNCTION("""COMPUTED_VALUE"""),46150.0)</f>
        <v>46150</v>
      </c>
      <c r="X72" s="265" t="str">
        <f>IFERROR(__xludf.DUMMYFUNCTION("""COMPUTED_VALUE"""),"Weston")</f>
        <v>Weston</v>
      </c>
      <c r="Y72" s="266">
        <f>IFERROR(__xludf.DUMMYFUNCTION("""COMPUTED_VALUE"""),1.2)</f>
        <v>1.2</v>
      </c>
      <c r="Z72" s="266">
        <f>IFERROR(__xludf.DUMMYFUNCTION("""COMPUTED_VALUE"""),0.4)</f>
        <v>0.4</v>
      </c>
      <c r="AA72" s="266">
        <f>IFERROR(__xludf.DUMMYFUNCTION("""COMPUTED_VALUE"""),1.25)</f>
        <v>1.25</v>
      </c>
      <c r="AB72" s="265" t="str">
        <f>IFERROR(__xludf.DUMMYFUNCTION("""COMPUTED_VALUE"""),"Good Bye Boogie Dance")</f>
        <v>Good Bye Boogie Dance</v>
      </c>
      <c r="AC72" s="267" t="str">
        <f>IFERROR(__xludf.DUMMYFUNCTION("""COMPUTED_VALUE"""),"Anri")</f>
        <v>Anri</v>
      </c>
      <c r="AD72" s="257">
        <f t="shared" si="20"/>
        <v>14.43</v>
      </c>
    </row>
    <row r="73">
      <c r="A73" s="39" t="s">
        <v>390</v>
      </c>
      <c r="B73" s="269" t="s">
        <v>381</v>
      </c>
      <c r="C73" s="270"/>
      <c r="D73" s="271" t="s">
        <v>381</v>
      </c>
      <c r="E73" s="272"/>
      <c r="F73" s="273"/>
      <c r="G73" s="284"/>
      <c r="H73" s="275"/>
      <c r="I73" s="376" t="str">
        <f>K81</f>
        <v>Crash</v>
      </c>
      <c r="J73" s="38">
        <f t="shared" si="21"/>
        <v>2</v>
      </c>
      <c r="K73" s="38" t="str">
        <f t="shared" si="22"/>
        <v>TBD</v>
      </c>
      <c r="L73" s="38">
        <f t="shared" si="23"/>
        <v>3</v>
      </c>
      <c r="M73" s="348" t="str">
        <f>K80</f>
        <v>Broken Bones</v>
      </c>
      <c r="N73" s="275"/>
      <c r="O73" s="274" t="s">
        <v>382</v>
      </c>
      <c r="P73" s="273" t="s">
        <v>382</v>
      </c>
      <c r="Q73" s="278"/>
      <c r="R73" s="271"/>
      <c r="S73" s="270" t="s">
        <v>381</v>
      </c>
      <c r="T73" s="269"/>
      <c r="V73" s="298">
        <f t="shared" si="19"/>
        <v>9</v>
      </c>
      <c r="W73" s="264">
        <f>IFERROR(__xludf.DUMMYFUNCTION("""COMPUTED_VALUE"""),46153.0)</f>
        <v>46153</v>
      </c>
      <c r="X73" s="265" t="str">
        <f>IFERROR(__xludf.DUMMYFUNCTION("""COMPUTED_VALUE"""),"Giacomo")</f>
        <v>Giacomo</v>
      </c>
      <c r="Y73" s="266">
        <f>IFERROR(__xludf.DUMMYFUNCTION("""COMPUTED_VALUE"""),2.2)</f>
        <v>2.2</v>
      </c>
      <c r="Z73" s="266">
        <f>IFERROR(__xludf.DUMMYFUNCTION("""COMPUTED_VALUE"""),1.469693845669907)</f>
        <v>1.469693846</v>
      </c>
      <c r="AA73" s="266">
        <f>IFERROR(__xludf.DUMMYFUNCTION("""COMPUTED_VALUE"""),2.5)</f>
        <v>2.5</v>
      </c>
      <c r="AB73" s="265" t="str">
        <f>IFERROR(__xludf.DUMMYFUNCTION("""COMPUTED_VALUE"""),"costly")</f>
        <v>costly</v>
      </c>
      <c r="AC73" s="267" t="str">
        <f>IFERROR(__xludf.DUMMYFUNCTION("""COMPUTED_VALUE"""),"MARCO PLUS")</f>
        <v>MARCO PLUS</v>
      </c>
      <c r="AD73" s="257">
        <f t="shared" si="20"/>
        <v>5.53</v>
      </c>
    </row>
    <row r="74">
      <c r="A74" s="39" t="s">
        <v>393</v>
      </c>
      <c r="B74" s="269" t="s">
        <v>381</v>
      </c>
      <c r="C74" s="270" t="s">
        <v>381</v>
      </c>
      <c r="D74" s="271" t="s">
        <v>381</v>
      </c>
      <c r="E74" s="272"/>
      <c r="F74" s="273"/>
      <c r="G74" s="274"/>
      <c r="H74" s="275"/>
      <c r="I74" s="355" t="str">
        <f>IFERROR(__xludf.DUMMYFUNCTION("FILTER(AB$69:AB$81, V$69:V$81=INT(MID(A74,6,1)))"),"All I Really Want")</f>
        <v>All I Really Want</v>
      </c>
      <c r="J74" s="38">
        <f t="shared" si="21"/>
        <v>3</v>
      </c>
      <c r="K74" s="38" t="str">
        <f t="shared" si="22"/>
        <v>TBD</v>
      </c>
      <c r="L74" s="38">
        <f t="shared" si="23"/>
        <v>2</v>
      </c>
      <c r="M74" s="355" t="str">
        <f>K79</f>
        <v>Out of Sight</v>
      </c>
      <c r="N74" s="275"/>
      <c r="O74" s="274" t="s">
        <v>382</v>
      </c>
      <c r="P74" s="273" t="s">
        <v>382</v>
      </c>
      <c r="Q74" s="272"/>
      <c r="R74" s="271"/>
      <c r="S74" s="270"/>
      <c r="T74" s="269"/>
      <c r="V74" s="298">
        <f t="shared" si="19"/>
        <v>2</v>
      </c>
      <c r="W74" s="264">
        <f>IFERROR(__xludf.DUMMYFUNCTION("""COMPUTED_VALUE"""),46155.0)</f>
        <v>46155</v>
      </c>
      <c r="X74" s="265" t="str">
        <f>IFERROR(__xludf.DUMMYFUNCTION("""COMPUTED_VALUE"""),"Logan")</f>
        <v>Logan</v>
      </c>
      <c r="Y74" s="266">
        <f>IFERROR(__xludf.DUMMYFUNCTION("""COMPUTED_VALUE"""),1.4)</f>
        <v>1.4</v>
      </c>
      <c r="Z74" s="266">
        <f>IFERROR(__xludf.DUMMYFUNCTION("""COMPUTED_VALUE"""),0.4898979485566356)</f>
        <v>0.4898979486</v>
      </c>
      <c r="AA74" s="266">
        <f>IFERROR(__xludf.DUMMYFUNCTION("""COMPUTED_VALUE"""),1.5)</f>
        <v>1.5</v>
      </c>
      <c r="AB74" s="265" t="str">
        <f>IFERROR(__xludf.DUMMYFUNCTION("""COMPUTED_VALUE"""),"2SIDED")</f>
        <v>2SIDED</v>
      </c>
      <c r="AC74" s="267" t="str">
        <f>IFERROR(__xludf.DUMMYFUNCTION("""COMPUTED_VALUE"""),"Arlo Parks")</f>
        <v>Arlo Parks</v>
      </c>
      <c r="AD74" s="257">
        <f t="shared" si="20"/>
        <v>13.32</v>
      </c>
    </row>
    <row r="75">
      <c r="A75" s="39" t="s">
        <v>394</v>
      </c>
      <c r="B75" s="269" t="s">
        <v>381</v>
      </c>
      <c r="C75" s="270"/>
      <c r="D75" s="271"/>
      <c r="E75" s="272"/>
      <c r="F75" s="273"/>
      <c r="G75" s="274" t="s">
        <v>382</v>
      </c>
      <c r="H75" s="275"/>
      <c r="I75" s="378" t="str">
        <f>IFERROR(__xludf.DUMMYFUNCTION("FILTER(AB$69:AB$81, V$69:V$81=INT(MID(A75,6,1)))"),"2SIDED")</f>
        <v>2SIDED</v>
      </c>
      <c r="J75" s="38">
        <f t="shared" si="21"/>
        <v>2</v>
      </c>
      <c r="K75" s="305" t="str">
        <f t="shared" si="22"/>
        <v>She Knows Too Much</v>
      </c>
      <c r="L75" s="38">
        <f t="shared" si="23"/>
        <v>4</v>
      </c>
      <c r="M75" s="349" t="str">
        <f>K78</f>
        <v>She Knows Too Much</v>
      </c>
      <c r="N75" s="275" t="s">
        <v>382</v>
      </c>
      <c r="O75" s="274"/>
      <c r="P75" s="273" t="s">
        <v>382</v>
      </c>
      <c r="Q75" s="272"/>
      <c r="R75" s="271" t="s">
        <v>381</v>
      </c>
      <c r="S75" s="270" t="s">
        <v>381</v>
      </c>
      <c r="T75" s="269"/>
      <c r="V75" s="298">
        <f t="shared" si="19"/>
        <v>8</v>
      </c>
      <c r="W75" s="264">
        <f>IFERROR(__xludf.DUMMYFUNCTION("""COMPUTED_VALUE"""),46157.0)</f>
        <v>46157</v>
      </c>
      <c r="X75" s="265" t="str">
        <f>IFERROR(__xludf.DUMMYFUNCTION("""COMPUTED_VALUE"""),"Weston")</f>
        <v>Weston</v>
      </c>
      <c r="Y75" s="266">
        <f>IFERROR(__xludf.DUMMYFUNCTION("""COMPUTED_VALUE"""),2.0)</f>
        <v>2</v>
      </c>
      <c r="Z75" s="266">
        <f>IFERROR(__xludf.DUMMYFUNCTION("""COMPUTED_VALUE"""),0.6324555320336759)</f>
        <v>0.632455532</v>
      </c>
      <c r="AA75" s="266">
        <f>IFERROR(__xludf.DUMMYFUNCTION("""COMPUTED_VALUE"""),2.25)</f>
        <v>2.25</v>
      </c>
      <c r="AB75" s="265" t="str">
        <f>IFERROR(__xludf.DUMMYFUNCTION("""COMPUTED_VALUE"""),"Stare At The Sun")</f>
        <v>Stare At The Sun</v>
      </c>
      <c r="AC75" s="267" t="str">
        <f>IFERROR(__xludf.DUMMYFUNCTION("""COMPUTED_VALUE"""),"Thrice")</f>
        <v>Thrice</v>
      </c>
      <c r="AD75" s="257">
        <f t="shared" si="20"/>
        <v>6.7</v>
      </c>
    </row>
    <row r="76">
      <c r="A76" s="39" t="s">
        <v>398</v>
      </c>
      <c r="B76" s="269" t="s">
        <v>381</v>
      </c>
      <c r="C76" s="270"/>
      <c r="D76" s="271"/>
      <c r="E76" s="272" t="s">
        <v>382</v>
      </c>
      <c r="F76" s="273" t="s">
        <v>381</v>
      </c>
      <c r="G76" s="274" t="s">
        <v>382</v>
      </c>
      <c r="H76" s="275"/>
      <c r="I76" s="355" t="str">
        <f>IFERROR(__xludf.DUMMYFUNCTION("FILTER(AB$69:AB$81, V$69:V$81=INT(MID(A76,6,1)))"),"Good Bye Boogie Dance")</f>
        <v>Good Bye Boogie Dance</v>
      </c>
      <c r="J76" s="38">
        <f t="shared" si="21"/>
        <v>4</v>
      </c>
      <c r="K76" s="302" t="str">
        <f t="shared" si="22"/>
        <v>Good Bye Boogie Dance</v>
      </c>
      <c r="L76" s="38">
        <f t="shared" si="23"/>
        <v>3</v>
      </c>
      <c r="M76" s="349" t="str">
        <f>K77</f>
        <v>costly</v>
      </c>
      <c r="N76" s="275" t="s">
        <v>382</v>
      </c>
      <c r="O76" s="274"/>
      <c r="P76" s="273"/>
      <c r="Q76" s="278"/>
      <c r="R76" s="271" t="s">
        <v>381</v>
      </c>
      <c r="S76" s="270" t="s">
        <v>381</v>
      </c>
      <c r="T76" s="269"/>
      <c r="V76" s="298">
        <f t="shared" si="19"/>
        <v>4</v>
      </c>
      <c r="W76" s="264">
        <f>IFERROR(__xludf.DUMMYFUNCTION("""COMPUTED_VALUE"""),46160.0)</f>
        <v>46160</v>
      </c>
      <c r="X76" s="265" t="str">
        <f>IFERROR(__xludf.DUMMYFUNCTION("""COMPUTED_VALUE"""),"Giacomo")</f>
        <v>Giacomo</v>
      </c>
      <c r="Y76" s="266">
        <f>IFERROR(__xludf.DUMMYFUNCTION("""COMPUTED_VALUE"""),1.5)</f>
        <v>1.5</v>
      </c>
      <c r="Z76" s="266">
        <f>IFERROR(__xludf.DUMMYFUNCTION("""COMPUTED_VALUE"""),1.118033988749895)</f>
        <v>1.118033989</v>
      </c>
      <c r="AA76" s="266">
        <f>IFERROR(__xludf.DUMMYFUNCTION("""COMPUTED_VALUE"""),1.6)</f>
        <v>1.6</v>
      </c>
      <c r="AB76" s="265" t="str">
        <f>IFERROR(__xludf.DUMMYFUNCTION("""COMPUTED_VALUE"""),"Crash")</f>
        <v>Crash</v>
      </c>
      <c r="AC76" s="267" t="str">
        <f>IFERROR(__xludf.DUMMYFUNCTION("""COMPUTED_VALUE"""),"Saba, No ID, Raphael Saadiq, Kelly Rowland")</f>
        <v>Saba, No ID, Raphael Saadiq, Kelly Rowland</v>
      </c>
      <c r="AD76" s="257">
        <f t="shared" si="20"/>
        <v>11.06</v>
      </c>
    </row>
    <row r="77">
      <c r="A77" s="289" t="s">
        <v>400</v>
      </c>
      <c r="B77" s="269"/>
      <c r="C77" s="270"/>
      <c r="D77" s="271"/>
      <c r="E77" s="272"/>
      <c r="F77" s="273" t="s">
        <v>382</v>
      </c>
      <c r="G77" s="274" t="s">
        <v>381</v>
      </c>
      <c r="H77" s="275"/>
      <c r="I77" s="355" t="str">
        <f>IFERROR(__xludf.DUMMYFUNCTION("FILTER(AB$69:AB$81, V$69:V$81=INT(MID(A77,6,1)))"),"Stare At The Sun")</f>
        <v>Stare At The Sun</v>
      </c>
      <c r="J77" s="38">
        <f t="shared" si="21"/>
        <v>2</v>
      </c>
      <c r="K77" s="305" t="str">
        <f t="shared" si="22"/>
        <v>costly</v>
      </c>
      <c r="L77" s="38">
        <f t="shared" si="23"/>
        <v>4</v>
      </c>
      <c r="M77" s="349" t="str">
        <f>IFERROR(__xludf.DUMMYFUNCTION("FILTER(AB$69:AB$81, V$69:V$81=INT(RIGHT(A77,1)))"),"costly")</f>
        <v>costly</v>
      </c>
      <c r="N77" s="275" t="s">
        <v>382</v>
      </c>
      <c r="O77" s="274"/>
      <c r="P77" s="273"/>
      <c r="Q77" s="272"/>
      <c r="R77" s="271" t="s">
        <v>381</v>
      </c>
      <c r="S77" s="270" t="s">
        <v>381</v>
      </c>
      <c r="T77" s="269" t="s">
        <v>381</v>
      </c>
      <c r="V77" s="298">
        <f t="shared" si="19"/>
        <v>12</v>
      </c>
      <c r="W77" s="264">
        <f>IFERROR(__xludf.DUMMYFUNCTION("""COMPUTED_VALUE"""),46162.0)</f>
        <v>46162</v>
      </c>
      <c r="X77" s="265" t="str">
        <f>IFERROR(__xludf.DUMMYFUNCTION("""COMPUTED_VALUE"""),"Flocco")</f>
        <v>Flocco</v>
      </c>
      <c r="Y77" s="266">
        <f>IFERROR(__xludf.DUMMYFUNCTION("""COMPUTED_VALUE"""),2.6666666666666665)</f>
        <v>2.666666667</v>
      </c>
      <c r="Z77" s="266">
        <f>IFERROR(__xludf.DUMMYFUNCTION("""COMPUTED_VALUE"""),1.1055415967851332)</f>
        <v>1.105541597</v>
      </c>
      <c r="AA77" s="266">
        <f>IFERROR(__xludf.DUMMYFUNCTION("""COMPUTED_VALUE"""),2.8)</f>
        <v>2.8</v>
      </c>
      <c r="AB77" s="265" t="str">
        <f>IFERROR(__xludf.DUMMYFUNCTION("""COMPUTED_VALUE"""),"Movies")</f>
        <v>Movies</v>
      </c>
      <c r="AC77" s="267" t="str">
        <f>IFERROR(__xludf.DUMMYFUNCTION("""COMPUTED_VALUE"""),"Alfie Templeman")</f>
        <v>Alfie Templeman</v>
      </c>
      <c r="AD77" s="257">
        <f t="shared" si="20"/>
        <v>2.27</v>
      </c>
    </row>
    <row r="78">
      <c r="A78" s="289" t="s">
        <v>403</v>
      </c>
      <c r="B78" s="269" t="s">
        <v>381</v>
      </c>
      <c r="C78" s="270"/>
      <c r="D78" s="271"/>
      <c r="E78" s="272"/>
      <c r="F78" s="273"/>
      <c r="G78" s="274"/>
      <c r="H78" s="275" t="s">
        <v>382</v>
      </c>
      <c r="I78" s="347" t="str">
        <f>IFERROR(__xludf.DUMMYFUNCTION("FILTER(AB$69:AB$81, V$69:V$81=INT(MID(A78,6,1)))"),"Set my heart on fire")</f>
        <v>Set my heart on fire</v>
      </c>
      <c r="J78" s="38">
        <f t="shared" si="21"/>
        <v>2</v>
      </c>
      <c r="K78" s="305" t="str">
        <f t="shared" si="22"/>
        <v>She Knows Too Much</v>
      </c>
      <c r="L78" s="38">
        <f t="shared" si="23"/>
        <v>4</v>
      </c>
      <c r="M78" s="349" t="str">
        <f>IFERROR(__xludf.DUMMYFUNCTION("FILTER(AB$69:AB$81, V$69:V$81=INT(RIGHT(A78,2)))"),"She Knows Too Much")</f>
        <v>She Knows Too Much</v>
      </c>
      <c r="N78" s="275"/>
      <c r="O78" s="274" t="s">
        <v>381</v>
      </c>
      <c r="P78" s="273" t="s">
        <v>382</v>
      </c>
      <c r="Q78" s="272"/>
      <c r="R78" s="271" t="s">
        <v>381</v>
      </c>
      <c r="S78" s="270" t="s">
        <v>381</v>
      </c>
      <c r="T78" s="269"/>
      <c r="V78" s="298">
        <f t="shared" si="19"/>
        <v>3</v>
      </c>
      <c r="W78" s="264">
        <f>IFERROR(__xludf.DUMMYFUNCTION("""COMPUTED_VALUE"""),46164.0)</f>
        <v>46164</v>
      </c>
      <c r="X78" s="265" t="str">
        <f>IFERROR(__xludf.DUMMYFUNCTION("""COMPUTED_VALUE"""),"Weston")</f>
        <v>Weston</v>
      </c>
      <c r="Y78" s="266">
        <f>IFERROR(__xludf.DUMMYFUNCTION("""COMPUTED_VALUE"""),1.5)</f>
        <v>1.5</v>
      </c>
      <c r="Z78" s="266">
        <f>IFERROR(__xludf.DUMMYFUNCTION("""COMPUTED_VALUE"""),0.7637626158259734)</f>
        <v>0.7637626158</v>
      </c>
      <c r="AA78" s="266">
        <f>IFERROR(__xludf.DUMMYFUNCTION("""COMPUTED_VALUE"""),1.6)</f>
        <v>1.6</v>
      </c>
      <c r="AB78" s="265" t="str">
        <f>IFERROR(__xludf.DUMMYFUNCTION("""COMPUTED_VALUE"""),"All I Really Want")</f>
        <v>All I Really Want</v>
      </c>
      <c r="AC78" s="267" t="str">
        <f>IFERROR(__xludf.DUMMYFUNCTION("""COMPUTED_VALUE"""),"Yes Boone")</f>
        <v>Yes Boone</v>
      </c>
      <c r="AD78" s="257">
        <f t="shared" si="20"/>
        <v>11.09</v>
      </c>
    </row>
    <row r="79">
      <c r="A79" s="289" t="s">
        <v>409</v>
      </c>
      <c r="B79" s="269"/>
      <c r="C79" s="270"/>
      <c r="D79" s="283"/>
      <c r="E79" s="272" t="s">
        <v>382</v>
      </c>
      <c r="F79" s="273" t="s">
        <v>382</v>
      </c>
      <c r="G79" s="274" t="s">
        <v>381</v>
      </c>
      <c r="H79" s="275" t="s">
        <v>382</v>
      </c>
      <c r="I79" s="355" t="str">
        <f>IFERROR(__xludf.DUMMYFUNCTION("FILTER(AB$69:AB$81, V$69:V$81=INT(MID(A79,6,1)))"),"Out of Sight")</f>
        <v>Out of Sight</v>
      </c>
      <c r="J79" s="38">
        <f t="shared" si="21"/>
        <v>4</v>
      </c>
      <c r="K79" s="302" t="str">
        <f t="shared" si="22"/>
        <v>Out of Sight</v>
      </c>
      <c r="L79" s="38">
        <f t="shared" si="23"/>
        <v>3</v>
      </c>
      <c r="M79" s="348" t="str">
        <f>IFERROR(__xludf.DUMMYFUNCTION("FILTER(AB$69:AB$81, V$69:V$81=INT(RIGHT(A79,2)))"),"Joga Pra Lua")</f>
        <v>Joga Pra Lua</v>
      </c>
      <c r="N79" s="275"/>
      <c r="O79" s="274"/>
      <c r="P79" s="273"/>
      <c r="Q79" s="272"/>
      <c r="R79" s="271" t="s">
        <v>381</v>
      </c>
      <c r="S79" s="270" t="s">
        <v>381</v>
      </c>
      <c r="T79" s="269" t="s">
        <v>381</v>
      </c>
      <c r="V79" s="298">
        <f t="shared" si="19"/>
        <v>10</v>
      </c>
      <c r="W79" s="264">
        <f>IFERROR(__xludf.DUMMYFUNCTION("""COMPUTED_VALUE"""),46167.0)</f>
        <v>46167</v>
      </c>
      <c r="X79" s="265" t="str">
        <f>IFERROR(__xludf.DUMMYFUNCTION("""COMPUTED_VALUE"""),"Giacomo")</f>
        <v>Giacomo</v>
      </c>
      <c r="Y79" s="266">
        <f>IFERROR(__xludf.DUMMYFUNCTION("""COMPUTED_VALUE"""),2.3333333333333335)</f>
        <v>2.333333333</v>
      </c>
      <c r="Z79" s="266">
        <f>IFERROR(__xludf.DUMMYFUNCTION("""COMPUTED_VALUE"""),1.3743685418725535)</f>
        <v>1.374368542</v>
      </c>
      <c r="AA79" s="266">
        <f>IFERROR(__xludf.DUMMYFUNCTION("""COMPUTED_VALUE"""),2.6)</f>
        <v>2.6</v>
      </c>
      <c r="AB79" s="265" t="str">
        <f>IFERROR(__xludf.DUMMYFUNCTION("""COMPUTED_VALUE"""),"She Knows Too Much")</f>
        <v>She Knows Too Much</v>
      </c>
      <c r="AC79" s="267" t="str">
        <f>IFERROR(__xludf.DUMMYFUNCTION("""COMPUTED_VALUE"""),"Thundercat, Mac Miller")</f>
        <v>Thundercat, Mac Miller</v>
      </c>
      <c r="AD79" s="257">
        <f t="shared" si="20"/>
        <v>4.45</v>
      </c>
    </row>
    <row r="80">
      <c r="A80" s="289" t="s">
        <v>413</v>
      </c>
      <c r="B80" s="310"/>
      <c r="C80" s="311" t="s">
        <v>381</v>
      </c>
      <c r="D80" s="312"/>
      <c r="E80" s="313" t="s">
        <v>382</v>
      </c>
      <c r="F80" s="314" t="s">
        <v>382</v>
      </c>
      <c r="G80" s="315" t="s">
        <v>381</v>
      </c>
      <c r="H80" s="316"/>
      <c r="I80" s="348" t="str">
        <f>IFERROR(__xludf.DUMMYFUNCTION("FILTER(AB$69:AB$81, V$69:V$81=INT(MID(A80,6,1)))"),"Broken Bones")</f>
        <v>Broken Bones</v>
      </c>
      <c r="J80" s="318">
        <f t="shared" si="21"/>
        <v>4</v>
      </c>
      <c r="K80" s="380" t="str">
        <f t="shared" si="22"/>
        <v>Broken Bones</v>
      </c>
      <c r="L80" s="318">
        <f t="shared" si="23"/>
        <v>3</v>
      </c>
      <c r="M80" s="347" t="str">
        <f>IFERROR(__xludf.DUMMYFUNCTION("FILTER(AB$69:AB$81, V$69:V$81=INT(RIGHT(A80,2)))"),"Movies")</f>
        <v>Movies</v>
      </c>
      <c r="N80" s="316" t="s">
        <v>382</v>
      </c>
      <c r="O80" s="315"/>
      <c r="P80" s="322"/>
      <c r="Q80" s="313"/>
      <c r="R80" s="312" t="s">
        <v>381</v>
      </c>
      <c r="S80" s="311"/>
      <c r="T80" s="310" t="s">
        <v>381</v>
      </c>
      <c r="V80" s="298">
        <f t="shared" si="19"/>
        <v>7</v>
      </c>
      <c r="W80" s="264">
        <f>IFERROR(__xludf.DUMMYFUNCTION("""COMPUTED_VALUE"""),46169.0)</f>
        <v>46169</v>
      </c>
      <c r="X80" s="265" t="str">
        <f>IFERROR(__xludf.DUMMYFUNCTION("""COMPUTED_VALUE"""),"Flocco")</f>
        <v>Flocco</v>
      </c>
      <c r="Y80" s="266">
        <f>IFERROR(__xludf.DUMMYFUNCTION("""COMPUTED_VALUE"""),2.0)</f>
        <v>2</v>
      </c>
      <c r="Z80" s="266">
        <f>IFERROR(__xludf.DUMMYFUNCTION("""COMPUTED_VALUE"""),1.4142135623730951)</f>
        <v>1.414213562</v>
      </c>
      <c r="AA80" s="266">
        <f>IFERROR(__xludf.DUMMYFUNCTION("""COMPUTED_VALUE"""),2.2)</f>
        <v>2.2</v>
      </c>
      <c r="AB80" s="265" t="str">
        <f>IFERROR(__xludf.DUMMYFUNCTION("""COMPUTED_VALUE"""),"Set my heart on fire")</f>
        <v>Set my heart on fire</v>
      </c>
      <c r="AC80" s="267" t="str">
        <f>IFERROR(__xludf.DUMMYFUNCTION("""COMPUTED_VALUE"""),"Majestic, the jammin kid, Celine Dion")</f>
        <v>Majestic, the jammin kid, Celine Dion</v>
      </c>
      <c r="AD80" s="257">
        <f t="shared" si="20"/>
        <v>6.74</v>
      </c>
    </row>
    <row r="81">
      <c r="A81" s="335" t="s">
        <v>418</v>
      </c>
      <c r="B81" s="269" t="s">
        <v>381</v>
      </c>
      <c r="C81" s="270" t="s">
        <v>381</v>
      </c>
      <c r="D81" s="271" t="s">
        <v>381</v>
      </c>
      <c r="E81" s="272"/>
      <c r="F81" s="273" t="s">
        <v>382</v>
      </c>
      <c r="G81" s="274" t="s">
        <v>381</v>
      </c>
      <c r="H81" s="275"/>
      <c r="I81" s="349" t="str">
        <f>IFERROR(__xludf.DUMMYFUNCTION("FILTER(AB$69:AB$81, V$69:V$81=INT(MID(A81,6,1)))"),"Crash")</f>
        <v>Crash</v>
      </c>
      <c r="J81" s="38">
        <f t="shared" si="21"/>
        <v>5</v>
      </c>
      <c r="K81" s="305" t="str">
        <f t="shared" si="22"/>
        <v>Crash</v>
      </c>
      <c r="L81" s="38">
        <f t="shared" si="23"/>
        <v>1</v>
      </c>
      <c r="M81" s="347" t="str">
        <f>IFERROR(__xludf.DUMMYFUNCTION("FILTER(AB$69:AB$81, V$69:V$81=INT(RIGHT(A81,2)))"),"Red Red Wine")</f>
        <v>Red Red Wine</v>
      </c>
      <c r="N81" s="275" t="s">
        <v>382</v>
      </c>
      <c r="O81" s="274"/>
      <c r="P81" s="282"/>
      <c r="Q81" s="272"/>
      <c r="R81" s="271"/>
      <c r="S81" s="270"/>
      <c r="T81" s="269"/>
      <c r="V81" s="298">
        <f t="shared" si="19"/>
        <v>11</v>
      </c>
      <c r="W81" s="264">
        <f>IFERROR(__xludf.DUMMYFUNCTION("""COMPUTED_VALUE"""),46171.0)</f>
        <v>46171</v>
      </c>
      <c r="X81" s="265" t="str">
        <f>IFERROR(__xludf.DUMMYFUNCTION("""COMPUTED_VALUE"""),"Parker")</f>
        <v>Parker</v>
      </c>
      <c r="Y81" s="266">
        <f>IFERROR(__xludf.DUMMYFUNCTION("""COMPUTED_VALUE"""),2.5)</f>
        <v>2.5</v>
      </c>
      <c r="Z81" s="266">
        <f>IFERROR(__xludf.DUMMYFUNCTION("""COMPUTED_VALUE"""),1.607275126832159)</f>
        <v>1.607275127</v>
      </c>
      <c r="AA81" s="266">
        <f>IFERROR(__xludf.DUMMYFUNCTION("""COMPUTED_VALUE"""),2.8)</f>
        <v>2.8</v>
      </c>
      <c r="AB81" s="265" t="str">
        <f>IFERROR(__xludf.DUMMYFUNCTION("""COMPUTED_VALUE"""),"Joga Pra Lua")</f>
        <v>Joga Pra Lua</v>
      </c>
      <c r="AC81" s="267" t="str">
        <f>IFERROR(__xludf.DUMMYFUNCTION("""COMPUTED_VALUE"""),"Anitta, DENNIS, PEDRO SAMPAIO (Brazil)")</f>
        <v>Anitta, DENNIS, PEDRO SAMPAIO (Brazil)</v>
      </c>
      <c r="AD81" s="257">
        <f t="shared" si="20"/>
        <v>3.22</v>
      </c>
    </row>
    <row r="82">
      <c r="I82" s="234"/>
      <c r="J82" s="234"/>
      <c r="K82" s="234"/>
      <c r="L82" s="234"/>
      <c r="M82" s="234"/>
    </row>
    <row r="83">
      <c r="I83" s="234"/>
      <c r="J83" s="234"/>
      <c r="K83" s="234"/>
      <c r="L83" s="234"/>
      <c r="M83" s="234"/>
    </row>
    <row r="84">
      <c r="I84" s="234"/>
      <c r="J84" s="234"/>
      <c r="K84" s="234"/>
      <c r="L84" s="234"/>
      <c r="M84" s="234"/>
    </row>
    <row r="85">
      <c r="A85" s="29" t="s">
        <v>552</v>
      </c>
      <c r="V85" s="262" t="s">
        <v>367</v>
      </c>
      <c r="W85" s="262" t="s">
        <v>19</v>
      </c>
      <c r="X85" s="262" t="s">
        <v>16</v>
      </c>
      <c r="Y85" s="262" t="s">
        <v>75</v>
      </c>
      <c r="Z85" s="262" t="s">
        <v>76</v>
      </c>
      <c r="AA85" s="262" t="s">
        <v>78</v>
      </c>
      <c r="AB85" s="262" t="s">
        <v>368</v>
      </c>
      <c r="AC85" s="262" t="s">
        <v>82</v>
      </c>
      <c r="AD85" s="262" t="s">
        <v>88</v>
      </c>
    </row>
    <row r="86">
      <c r="A86" s="262" t="s">
        <v>369</v>
      </c>
      <c r="B86" s="262" t="s">
        <v>370</v>
      </c>
      <c r="C86" s="262" t="s">
        <v>371</v>
      </c>
      <c r="D86" s="262" t="s">
        <v>372</v>
      </c>
      <c r="E86" s="262" t="s">
        <v>373</v>
      </c>
      <c r="F86" s="262" t="s">
        <v>374</v>
      </c>
      <c r="G86" s="262" t="s">
        <v>51</v>
      </c>
      <c r="H86" s="29" t="s">
        <v>375</v>
      </c>
      <c r="I86" s="29" t="s">
        <v>376</v>
      </c>
      <c r="J86" s="29" t="s">
        <v>377</v>
      </c>
      <c r="K86" s="29" t="s">
        <v>21</v>
      </c>
      <c r="L86" s="29" t="s">
        <v>378</v>
      </c>
      <c r="M86" s="29" t="s">
        <v>379</v>
      </c>
      <c r="N86" s="29" t="s">
        <v>375</v>
      </c>
      <c r="O86" s="262" t="s">
        <v>51</v>
      </c>
      <c r="P86" s="262" t="s">
        <v>374</v>
      </c>
      <c r="Q86" s="262" t="s">
        <v>373</v>
      </c>
      <c r="R86" s="262" t="s">
        <v>372</v>
      </c>
      <c r="S86" s="262" t="s">
        <v>371</v>
      </c>
      <c r="T86" s="262" t="s">
        <v>370</v>
      </c>
      <c r="V86" s="298">
        <f t="shared" ref="V86:V98" si="25">RANK(AD86,AD$86:AD$98)</f>
        <v>10</v>
      </c>
      <c r="W86" s="295">
        <f>IFERROR(__xludf.DUMMYFUNCTION("FILTER(Rankings!D:J, Rankings!D:D &gt;= DATE(2026,6,1), Rankings!D:D &lt; DATE(2026,7,1), Rankings!U:U = TRUE)"),46174.0)</f>
        <v>46174</v>
      </c>
      <c r="X86" s="296" t="str">
        <f>IFERROR(__xludf.DUMMYFUNCTION("""COMPUTED_VALUE"""),"Logan")</f>
        <v>Logan</v>
      </c>
      <c r="Y86" s="297">
        <f>IFERROR(__xludf.DUMMYFUNCTION("""COMPUTED_VALUE"""),2.3333333333333335)</f>
        <v>2.333333333</v>
      </c>
      <c r="Z86" s="297">
        <f>IFERROR(__xludf.DUMMYFUNCTION("""COMPUTED_VALUE"""),1.1055415967851332)</f>
        <v>1.105541597</v>
      </c>
      <c r="AA86" s="297">
        <f>IFERROR(__xludf.DUMMYFUNCTION("""COMPUTED_VALUE"""),2.6)</f>
        <v>2.6</v>
      </c>
      <c r="AB86" s="296" t="str">
        <f>IFERROR(__xludf.DUMMYFUNCTION("""COMPUTED_VALUE"""),"over it")</f>
        <v>over it</v>
      </c>
      <c r="AC86" s="296" t="str">
        <f>IFERROR(__xludf.DUMMYFUNCTION("""COMPUTED_VALUE"""),"joss lockwood")</f>
        <v>joss lockwood</v>
      </c>
      <c r="AD86" s="299">
        <f t="shared" ref="AD86:AD98" si="26">IF(ISBLANK(W86), "", RANK(Y86, Y$86:Y$98) + RANK(AA86, AA$86:AA$98)/10 + RANK(Z86, Z$86:Z$98)/100)</f>
        <v>4.45</v>
      </c>
    </row>
    <row r="87">
      <c r="A87" s="268" t="s">
        <v>380</v>
      </c>
      <c r="B87" s="269"/>
      <c r="C87" s="270"/>
      <c r="D87" s="271"/>
      <c r="E87" s="272"/>
      <c r="F87" s="273"/>
      <c r="G87" s="274"/>
      <c r="H87" s="275"/>
      <c r="I87" s="182" t="str">
        <f>K89</f>
        <v>TBD</v>
      </c>
      <c r="J87" s="38">
        <f t="shared" ref="J87:J98" si="27">COUNTIF(B87:H87,"x")</f>
        <v>0</v>
      </c>
      <c r="K87" s="38" t="str">
        <f t="shared" ref="K87:K98" si="28">IF(J87&gt;=4,I87,IF(L87&gt;=4,M87,"TBD"))</f>
        <v>TBD</v>
      </c>
      <c r="L87" s="38">
        <f t="shared" ref="L87:L98" si="29">COUNTIF(N87:T87,"x")</f>
        <v>0</v>
      </c>
      <c r="M87" s="182" t="str">
        <f>K88</f>
        <v>TBD</v>
      </c>
      <c r="N87" s="275"/>
      <c r="O87" s="274"/>
      <c r="P87" s="273"/>
      <c r="Q87" s="272"/>
      <c r="R87" s="271"/>
      <c r="S87" s="270"/>
      <c r="T87" s="269"/>
      <c r="V87" s="298">
        <f t="shared" si="25"/>
        <v>9</v>
      </c>
      <c r="W87" s="264">
        <f>IFERROR(__xludf.DUMMYFUNCTION("""COMPUTED_VALUE"""),46176.0)</f>
        <v>46176</v>
      </c>
      <c r="X87" s="265" t="str">
        <f>IFERROR(__xludf.DUMMYFUNCTION("""COMPUTED_VALUE"""),"Parker")</f>
        <v>Parker</v>
      </c>
      <c r="Y87" s="266">
        <f>IFERROR(__xludf.DUMMYFUNCTION("""COMPUTED_VALUE"""),2.0)</f>
        <v>2</v>
      </c>
      <c r="Z87" s="266">
        <f>IFERROR(__xludf.DUMMYFUNCTION("""COMPUTED_VALUE"""),1.5275252316519468)</f>
        <v>1.527525232</v>
      </c>
      <c r="AA87" s="266">
        <f>IFERROR(__xludf.DUMMYFUNCTION("""COMPUTED_VALUE"""),2.2)</f>
        <v>2.2</v>
      </c>
      <c r="AB87" s="265" t="str">
        <f>IFERROR(__xludf.DUMMYFUNCTION("""COMPUTED_VALUE"""),"AGAIN")</f>
        <v>AGAIN</v>
      </c>
      <c r="AC87" s="265" t="str">
        <f>IFERROR(__xludf.DUMMYFUNCTION("""COMPUTED_VALUE"""),"Feid, Sky Rompiendo, Majid Jordan")</f>
        <v>Feid, Sky Rompiendo, Majid Jordan</v>
      </c>
      <c r="AD87" s="267">
        <f t="shared" si="26"/>
        <v>5.53</v>
      </c>
    </row>
    <row r="88">
      <c r="A88" s="268" t="s">
        <v>385</v>
      </c>
      <c r="B88" s="269" t="s">
        <v>381</v>
      </c>
      <c r="C88" s="270"/>
      <c r="D88" s="271" t="s">
        <v>381</v>
      </c>
      <c r="E88" s="272"/>
      <c r="F88" s="273"/>
      <c r="G88" s="274"/>
      <c r="H88" s="275"/>
      <c r="I88" s="378" t="str">
        <f t="shared" ref="I88:I89" si="30">K92</f>
        <v>over it</v>
      </c>
      <c r="J88" s="38">
        <f t="shared" si="27"/>
        <v>2</v>
      </c>
      <c r="K88" s="38" t="str">
        <f t="shared" si="28"/>
        <v>TBD</v>
      </c>
      <c r="L88" s="38">
        <f t="shared" si="29"/>
        <v>3</v>
      </c>
      <c r="M88" s="347" t="str">
        <f>K91</f>
        <v>No more regrets</v>
      </c>
      <c r="N88" s="275"/>
      <c r="O88" s="274" t="s">
        <v>381</v>
      </c>
      <c r="P88" s="273" t="s">
        <v>382</v>
      </c>
      <c r="Q88" s="272"/>
      <c r="R88" s="271"/>
      <c r="S88" s="270" t="s">
        <v>381</v>
      </c>
      <c r="T88" s="269"/>
      <c r="V88" s="298">
        <f t="shared" si="25"/>
        <v>6</v>
      </c>
      <c r="W88" s="264">
        <f>IFERROR(__xludf.DUMMYFUNCTION("""COMPUTED_VALUE"""),46178.0)</f>
        <v>46178</v>
      </c>
      <c r="X88" s="265" t="str">
        <f>IFERROR(__xludf.DUMMYFUNCTION("""COMPUTED_VALUE"""),"Giacomo")</f>
        <v>Giacomo</v>
      </c>
      <c r="Y88" s="266">
        <f>IFERROR(__xludf.DUMMYFUNCTION("""COMPUTED_VALUE"""),1.6666666666666667)</f>
        <v>1.666666667</v>
      </c>
      <c r="Z88" s="266">
        <f>IFERROR(__xludf.DUMMYFUNCTION("""COMPUTED_VALUE"""),0.9428090415820634)</f>
        <v>0.9428090416</v>
      </c>
      <c r="AA88" s="266">
        <f>IFERROR(__xludf.DUMMYFUNCTION("""COMPUTED_VALUE"""),1.8)</f>
        <v>1.8</v>
      </c>
      <c r="AB88" s="265" t="str">
        <f>IFERROR(__xludf.DUMMYFUNCTION("""COMPUTED_VALUE"""),"TRICERATOPS")</f>
        <v>TRICERATOPS</v>
      </c>
      <c r="AC88" s="265" t="str">
        <f>IFERROR(__xludf.DUMMYFUNCTION("""COMPUTED_VALUE"""),"Action Bronson, Paul Wall, Lil Yachty")</f>
        <v>Action Bronson, Paul Wall, Lil Yachty</v>
      </c>
      <c r="AD88" s="267">
        <f t="shared" si="26"/>
        <v>8.66</v>
      </c>
    </row>
    <row r="89">
      <c r="A89" s="268" t="s">
        <v>389</v>
      </c>
      <c r="B89" s="269"/>
      <c r="C89" s="270" t="s">
        <v>381</v>
      </c>
      <c r="D89" s="271"/>
      <c r="E89" s="272"/>
      <c r="F89" s="273"/>
      <c r="G89" s="274" t="s">
        <v>381</v>
      </c>
      <c r="H89" s="275"/>
      <c r="I89" s="348" t="str">
        <f t="shared" si="30"/>
        <v>AGAIN</v>
      </c>
      <c r="J89" s="38">
        <f t="shared" si="27"/>
        <v>2</v>
      </c>
      <c r="K89" s="38" t="str">
        <f t="shared" si="28"/>
        <v>TBD</v>
      </c>
      <c r="L89" s="38">
        <f t="shared" si="29"/>
        <v>1</v>
      </c>
      <c r="M89" s="378" t="str">
        <f>K90</f>
        <v>Oxygen</v>
      </c>
      <c r="N89" s="275"/>
      <c r="O89" s="274"/>
      <c r="P89" s="273"/>
      <c r="Q89" s="272"/>
      <c r="R89" s="271" t="s">
        <v>381</v>
      </c>
      <c r="S89" s="270"/>
      <c r="T89" s="269"/>
      <c r="V89" s="298">
        <f t="shared" si="25"/>
        <v>5</v>
      </c>
      <c r="W89" s="264">
        <f>IFERROR(__xludf.DUMMYFUNCTION("""COMPUTED_VALUE"""),46181.0)</f>
        <v>46181</v>
      </c>
      <c r="X89" s="265" t="str">
        <f>IFERROR(__xludf.DUMMYFUNCTION("""COMPUTED_VALUE"""),"Logan")</f>
        <v>Logan</v>
      </c>
      <c r="Y89" s="266">
        <f>IFERROR(__xludf.DUMMYFUNCTION("""COMPUTED_VALUE"""),1.6666666666666667)</f>
        <v>1.666666667</v>
      </c>
      <c r="Z89" s="266">
        <f>IFERROR(__xludf.DUMMYFUNCTION("""COMPUTED_VALUE"""),0.7453559924999298)</f>
        <v>0.7453559925</v>
      </c>
      <c r="AA89" s="266">
        <f>IFERROR(__xludf.DUMMYFUNCTION("""COMPUTED_VALUE"""),1.6)</f>
        <v>1.6</v>
      </c>
      <c r="AB89" s="265" t="str">
        <f>IFERROR(__xludf.DUMMYFUNCTION("""COMPUTED_VALUE"""),"Oxygen")</f>
        <v>Oxygen</v>
      </c>
      <c r="AC89" s="265" t="str">
        <f>IFERROR(__xludf.DUMMYFUNCTION("""COMPUTED_VALUE"""),"Porch Light")</f>
        <v>Porch Light</v>
      </c>
      <c r="AD89" s="267">
        <f t="shared" si="26"/>
        <v>8.99</v>
      </c>
    </row>
    <row r="90">
      <c r="A90" s="39" t="s">
        <v>390</v>
      </c>
      <c r="B90" s="269"/>
      <c r="C90" s="270"/>
      <c r="D90" s="283"/>
      <c r="E90" s="272"/>
      <c r="F90" s="273"/>
      <c r="G90" s="274" t="s">
        <v>382</v>
      </c>
      <c r="H90" s="275"/>
      <c r="I90" s="381" t="str">
        <f>K98</f>
        <v>Somedays</v>
      </c>
      <c r="J90" s="38">
        <f t="shared" si="27"/>
        <v>1</v>
      </c>
      <c r="K90" s="288" t="str">
        <f t="shared" si="28"/>
        <v>Oxygen</v>
      </c>
      <c r="L90" s="38">
        <f t="shared" si="29"/>
        <v>4</v>
      </c>
      <c r="M90" s="378" t="str">
        <f>K97</f>
        <v>Oxygen</v>
      </c>
      <c r="N90" s="275"/>
      <c r="O90" s="274"/>
      <c r="P90" s="273" t="s">
        <v>382</v>
      </c>
      <c r="Q90" s="278"/>
      <c r="R90" s="271" t="s">
        <v>381</v>
      </c>
      <c r="S90" s="270" t="s">
        <v>381</v>
      </c>
      <c r="T90" s="269" t="s">
        <v>381</v>
      </c>
      <c r="V90" s="298">
        <f t="shared" si="25"/>
        <v>1</v>
      </c>
      <c r="W90" s="264">
        <f>IFERROR(__xludf.DUMMYFUNCTION("""COMPUTED_VALUE"""),46183.0)</f>
        <v>46183</v>
      </c>
      <c r="X90" s="265" t="str">
        <f>IFERROR(__xludf.DUMMYFUNCTION("""COMPUTED_VALUE"""),"Parker")</f>
        <v>Parker</v>
      </c>
      <c r="Y90" s="266">
        <f>IFERROR(__xludf.DUMMYFUNCTION("""COMPUTED_VALUE"""),1.3333333333333333)</f>
        <v>1.333333333</v>
      </c>
      <c r="Z90" s="266">
        <f>IFERROR(__xludf.DUMMYFUNCTION("""COMPUTED_VALUE"""),0.4714045207910317)</f>
        <v>0.4714045208</v>
      </c>
      <c r="AA90" s="266">
        <f>IFERROR(__xludf.DUMMYFUNCTION("""COMPUTED_VALUE"""),1.4)</f>
        <v>1.4</v>
      </c>
      <c r="AB90" s="265" t="str">
        <f>IFERROR(__xludf.DUMMYFUNCTION("""COMPUTED_VALUE"""),"Otra Atardecer")</f>
        <v>Otra Atardecer</v>
      </c>
      <c r="AC90" s="265" t="str">
        <f>IFERROR(__xludf.DUMMYFUNCTION("""COMPUTED_VALUE"""),"Bad Bunny, The Marias")</f>
        <v>Bad Bunny, The Marias</v>
      </c>
      <c r="AD90" s="267">
        <f t="shared" si="26"/>
        <v>13.32</v>
      </c>
    </row>
    <row r="91">
      <c r="A91" s="39" t="s">
        <v>393</v>
      </c>
      <c r="B91" s="269" t="s">
        <v>381</v>
      </c>
      <c r="C91" s="270" t="s">
        <v>381</v>
      </c>
      <c r="D91" s="271" t="s">
        <v>381</v>
      </c>
      <c r="E91" s="272"/>
      <c r="F91" s="273" t="s">
        <v>382</v>
      </c>
      <c r="G91" s="274" t="s">
        <v>382</v>
      </c>
      <c r="H91" s="275" t="s">
        <v>382</v>
      </c>
      <c r="I91" s="347" t="str">
        <f>IFERROR(__xludf.DUMMYFUNCTION("FILTER(AB$86:AB$98, V$86:V$98=INT(MID(A91,6,1)))"),"No more regrets")</f>
        <v>No more regrets</v>
      </c>
      <c r="J91" s="38">
        <f t="shared" si="27"/>
        <v>6</v>
      </c>
      <c r="K91" s="277" t="str">
        <f t="shared" si="28"/>
        <v>No more regrets</v>
      </c>
      <c r="L91" s="38">
        <f t="shared" si="29"/>
        <v>0</v>
      </c>
      <c r="M91" s="355" t="str">
        <f>K96</f>
        <v>Face My Fears - KINGDOM Orchestra Instrumental Version</v>
      </c>
      <c r="N91" s="275"/>
      <c r="O91" s="274"/>
      <c r="P91" s="273"/>
      <c r="Q91" s="272"/>
      <c r="R91" s="271"/>
      <c r="S91" s="270"/>
      <c r="T91" s="269"/>
      <c r="V91" s="298">
        <f t="shared" si="25"/>
        <v>4</v>
      </c>
      <c r="W91" s="264">
        <f>IFERROR(__xludf.DUMMYFUNCTION("""COMPUTED_VALUE"""),46185.0)</f>
        <v>46185</v>
      </c>
      <c r="X91" s="265" t="str">
        <f>IFERROR(__xludf.DUMMYFUNCTION("""COMPUTED_VALUE"""),"Flocco")</f>
        <v>Flocco</v>
      </c>
      <c r="Y91" s="266">
        <f>IFERROR(__xludf.DUMMYFUNCTION("""COMPUTED_VALUE"""),1.6666666666666667)</f>
        <v>1.666666667</v>
      </c>
      <c r="Z91" s="266">
        <f>IFERROR(__xludf.DUMMYFUNCTION("""COMPUTED_VALUE"""),0.4714045207910317)</f>
        <v>0.4714045208</v>
      </c>
      <c r="AA91" s="266">
        <f>IFERROR(__xludf.DUMMYFUNCTION("""COMPUTED_VALUE"""),1.6)</f>
        <v>1.6</v>
      </c>
      <c r="AB91" s="265" t="str">
        <f>IFERROR(__xludf.DUMMYFUNCTION("""COMPUTED_VALUE"""),"All the small things")</f>
        <v>All the small things</v>
      </c>
      <c r="AC91" s="265" t="str">
        <f>IFERROR(__xludf.DUMMYFUNCTION("""COMPUTED_VALUE"""),"Blink 182")</f>
        <v>Blink 182</v>
      </c>
      <c r="AD91" s="267">
        <f t="shared" si="26"/>
        <v>9.02</v>
      </c>
    </row>
    <row r="92">
      <c r="A92" s="39" t="s">
        <v>394</v>
      </c>
      <c r="B92" s="269"/>
      <c r="C92" s="270"/>
      <c r="D92" s="271"/>
      <c r="E92" s="272"/>
      <c r="F92" s="273" t="s">
        <v>382</v>
      </c>
      <c r="G92" s="274" t="s">
        <v>381</v>
      </c>
      <c r="H92" s="275"/>
      <c r="I92" s="355" t="str">
        <f>IFERROR(__xludf.DUMMYFUNCTION("FILTER(AB$86:AB$98, V$86:V$98=INT(MID(A92,6,1)))"),"Material Lover")</f>
        <v>Material Lover</v>
      </c>
      <c r="J92" s="38">
        <f t="shared" si="27"/>
        <v>2</v>
      </c>
      <c r="K92" s="288" t="str">
        <f t="shared" si="28"/>
        <v>over it</v>
      </c>
      <c r="L92" s="38">
        <f t="shared" si="29"/>
        <v>4</v>
      </c>
      <c r="M92" s="378" t="str">
        <f>K95</f>
        <v>over it</v>
      </c>
      <c r="N92" s="275" t="s">
        <v>382</v>
      </c>
      <c r="O92" s="284"/>
      <c r="P92" s="273"/>
      <c r="Q92" s="272"/>
      <c r="R92" s="271" t="s">
        <v>381</v>
      </c>
      <c r="S92" s="270" t="s">
        <v>381</v>
      </c>
      <c r="T92" s="269" t="s">
        <v>381</v>
      </c>
      <c r="V92" s="298">
        <f t="shared" si="25"/>
        <v>12</v>
      </c>
      <c r="W92" s="264">
        <f>IFERROR(__xludf.DUMMYFUNCTION("""COMPUTED_VALUE"""),46188.0)</f>
        <v>46188</v>
      </c>
      <c r="X92" s="265" t="str">
        <f>IFERROR(__xludf.DUMMYFUNCTION("""COMPUTED_VALUE"""),"TTAC")</f>
        <v>TTAC</v>
      </c>
      <c r="Y92" s="266">
        <f>IFERROR(__xludf.DUMMYFUNCTION("""COMPUTED_VALUE"""),2.8333333333333335)</f>
        <v>2.833333333</v>
      </c>
      <c r="Z92" s="266">
        <f>IFERROR(__xludf.DUMMYFUNCTION("""COMPUTED_VALUE"""),1.6749792701868151)</f>
        <v>1.67497927</v>
      </c>
      <c r="AA92" s="266">
        <f>IFERROR(__xludf.DUMMYFUNCTION("""COMPUTED_VALUE"""),3.2)</f>
        <v>3.2</v>
      </c>
      <c r="AB92" s="265" t="str">
        <f>IFERROR(__xludf.DUMMYFUNCTION("""COMPUTED_VALUE"""),"Dive Bar Named Nirvana")</f>
        <v>Dive Bar Named Nirvana</v>
      </c>
      <c r="AC92" s="265" t="str">
        <f>IFERROR(__xludf.DUMMYFUNCTION("""COMPUTED_VALUE"""),"Dogpark")</f>
        <v>Dogpark</v>
      </c>
      <c r="AD92" s="267">
        <f t="shared" si="26"/>
        <v>1.12</v>
      </c>
    </row>
    <row r="93">
      <c r="A93" s="39" t="s">
        <v>398</v>
      </c>
      <c r="B93" s="269"/>
      <c r="C93" s="270"/>
      <c r="D93" s="271" t="s">
        <v>381</v>
      </c>
      <c r="E93" s="272"/>
      <c r="F93" s="273"/>
      <c r="G93" s="274" t="s">
        <v>381</v>
      </c>
      <c r="H93" s="275"/>
      <c r="I93" s="348" t="str">
        <f>IFERROR(__xludf.DUMMYFUNCTION("FILTER(AB$86:AB$98, V$86:V$98=INT(MID(A93,6,1)))"),"Otra Atardecer")</f>
        <v>Otra Atardecer</v>
      </c>
      <c r="J93" s="38">
        <f t="shared" si="27"/>
        <v>2</v>
      </c>
      <c r="K93" s="281" t="str">
        <f t="shared" si="28"/>
        <v>AGAIN</v>
      </c>
      <c r="L93" s="38">
        <f t="shared" si="29"/>
        <v>4</v>
      </c>
      <c r="M93" s="348" t="str">
        <f>K94</f>
        <v>AGAIN</v>
      </c>
      <c r="N93" s="275" t="s">
        <v>382</v>
      </c>
      <c r="O93" s="274"/>
      <c r="P93" s="273" t="s">
        <v>382</v>
      </c>
      <c r="Q93" s="278"/>
      <c r="R93" s="271"/>
      <c r="S93" s="270" t="s">
        <v>381</v>
      </c>
      <c r="T93" s="269" t="s">
        <v>381</v>
      </c>
      <c r="V93" s="298">
        <f t="shared" si="25"/>
        <v>2</v>
      </c>
      <c r="W93" s="264">
        <f>IFERROR(__xludf.DUMMYFUNCTION("""COMPUTED_VALUE"""),46190.0)</f>
        <v>46190</v>
      </c>
      <c r="X93" s="265" t="str">
        <f>IFERROR(__xludf.DUMMYFUNCTION("""COMPUTED_VALUE"""),"Weston")</f>
        <v>Weston</v>
      </c>
      <c r="Y93" s="266">
        <f>IFERROR(__xludf.DUMMYFUNCTION("""COMPUTED_VALUE"""),1.3333333333333333)</f>
        <v>1.333333333</v>
      </c>
      <c r="Z93" s="266">
        <f>IFERROR(__xludf.DUMMYFUNCTION("""COMPUTED_VALUE"""),0.7453559924999299)</f>
        <v>0.7453559925</v>
      </c>
      <c r="AA93" s="266">
        <f>IFERROR(__xludf.DUMMYFUNCTION("""COMPUTED_VALUE"""),1.4)</f>
        <v>1.4</v>
      </c>
      <c r="AB93" s="265" t="str">
        <f>IFERROR(__xludf.DUMMYFUNCTION("""COMPUTED_VALUE"""),"Material Lover")</f>
        <v>Material Lover</v>
      </c>
      <c r="AC93" s="265" t="str">
        <f>IFERROR(__xludf.DUMMYFUNCTION("""COMPUTED_VALUE"""),"SIENNA SPIRO")</f>
        <v>SIENNA SPIRO</v>
      </c>
      <c r="AD93" s="267">
        <f t="shared" si="26"/>
        <v>13.28</v>
      </c>
    </row>
    <row r="94">
      <c r="A94" s="289" t="s">
        <v>400</v>
      </c>
      <c r="B94" s="269"/>
      <c r="C94" s="270"/>
      <c r="D94" s="271"/>
      <c r="E94" s="272"/>
      <c r="F94" s="273" t="s">
        <v>382</v>
      </c>
      <c r="G94" s="274"/>
      <c r="H94" s="275"/>
      <c r="I94" s="355" t="str">
        <f>IFERROR(__xludf.DUMMYFUNCTION("FILTER(AB$86:AB$98, V$86:V$98=INT(MID(A94,6,1)))"),"Careless")</f>
        <v>Careless</v>
      </c>
      <c r="J94" s="38">
        <f t="shared" si="27"/>
        <v>1</v>
      </c>
      <c r="K94" s="281" t="str">
        <f t="shared" si="28"/>
        <v>AGAIN</v>
      </c>
      <c r="L94" s="38">
        <f t="shared" si="29"/>
        <v>5</v>
      </c>
      <c r="M94" s="348" t="str">
        <f>IFERROR(__xludf.DUMMYFUNCTION("FILTER(AB$86:AB$98, V$86:V$98=INT(RIGHT(A94,1)))"),"AGAIN")</f>
        <v>AGAIN</v>
      </c>
      <c r="N94" s="275" t="s">
        <v>382</v>
      </c>
      <c r="O94" s="274" t="s">
        <v>381</v>
      </c>
      <c r="P94" s="273"/>
      <c r="Q94" s="272"/>
      <c r="R94" s="271" t="s">
        <v>381</v>
      </c>
      <c r="S94" s="270" t="s">
        <v>381</v>
      </c>
      <c r="T94" s="269" t="s">
        <v>381</v>
      </c>
      <c r="V94" s="298">
        <f t="shared" si="25"/>
        <v>7</v>
      </c>
      <c r="W94" s="264">
        <f>IFERROR(__xludf.DUMMYFUNCTION("""COMPUTED_VALUE"""),46192.0)</f>
        <v>46192</v>
      </c>
      <c r="X94" s="265" t="str">
        <f>IFERROR(__xludf.DUMMYFUNCTION("""COMPUTED_VALUE"""),"Giacomo")</f>
        <v>Giacomo</v>
      </c>
      <c r="Y94" s="266">
        <f>IFERROR(__xludf.DUMMYFUNCTION("""COMPUTED_VALUE"""),1.8333333333333333)</f>
        <v>1.833333333</v>
      </c>
      <c r="Z94" s="266">
        <f>IFERROR(__xludf.DUMMYFUNCTION("""COMPUTED_VALUE"""),0.6871842709362768)</f>
        <v>0.6871842709</v>
      </c>
      <c r="AA94" s="266">
        <f>IFERROR(__xludf.DUMMYFUNCTION("""COMPUTED_VALUE"""),1.8)</f>
        <v>1.8</v>
      </c>
      <c r="AB94" s="265" t="str">
        <f>IFERROR(__xludf.DUMMYFUNCTION("""COMPUTED_VALUE"""),"DUMMY")</f>
        <v>DUMMY</v>
      </c>
      <c r="AC94" s="265" t="str">
        <f>IFERROR(__xludf.DUMMYFUNCTION("""COMPUTED_VALUE"""),"Key Glock")</f>
        <v>Key Glock</v>
      </c>
      <c r="AD94" s="267">
        <f t="shared" si="26"/>
        <v>7.7</v>
      </c>
    </row>
    <row r="95">
      <c r="A95" s="289" t="s">
        <v>403</v>
      </c>
      <c r="B95" s="269"/>
      <c r="C95" s="270"/>
      <c r="D95" s="271" t="s">
        <v>381</v>
      </c>
      <c r="E95" s="272"/>
      <c r="F95" s="273"/>
      <c r="G95" s="274"/>
      <c r="H95" s="275"/>
      <c r="I95" s="349" t="str">
        <f>IFERROR(__xludf.DUMMYFUNCTION("FILTER(AB$86:AB$98, V$86:V$98=INT(MID(A95,6,1)))"),"DUMMY")</f>
        <v>DUMMY</v>
      </c>
      <c r="J95" s="38">
        <f t="shared" si="27"/>
        <v>1</v>
      </c>
      <c r="K95" s="288" t="str">
        <f t="shared" si="28"/>
        <v>over it</v>
      </c>
      <c r="L95" s="38">
        <f t="shared" si="29"/>
        <v>5</v>
      </c>
      <c r="M95" s="378" t="str">
        <f>IFERROR(__xludf.DUMMYFUNCTION("FILTER(AB$86:AB$98, V$86:V$98=INT(RIGHT(A95,2)))"),"over it")</f>
        <v>over it</v>
      </c>
      <c r="N95" s="275" t="s">
        <v>382</v>
      </c>
      <c r="O95" s="274" t="s">
        <v>381</v>
      </c>
      <c r="P95" s="273" t="s">
        <v>382</v>
      </c>
      <c r="Q95" s="272"/>
      <c r="R95" s="271"/>
      <c r="S95" s="270" t="s">
        <v>381</v>
      </c>
      <c r="T95" s="269" t="s">
        <v>381</v>
      </c>
      <c r="V95" s="298">
        <f t="shared" si="25"/>
        <v>8</v>
      </c>
      <c r="W95" s="264">
        <f>IFERROR(__xludf.DUMMYFUNCTION("""COMPUTED_VALUE"""),46195.0)</f>
        <v>46195</v>
      </c>
      <c r="X95" s="265" t="str">
        <f>IFERROR(__xludf.DUMMYFUNCTION("""COMPUTED_VALUE"""),"Weston")</f>
        <v>Weston</v>
      </c>
      <c r="Y95" s="266">
        <f>IFERROR(__xludf.DUMMYFUNCTION("""COMPUTED_VALUE"""),2.0)</f>
        <v>2</v>
      </c>
      <c r="Z95" s="266">
        <f>IFERROR(__xludf.DUMMYFUNCTION("""COMPUTED_VALUE"""),0.816496580927726)</f>
        <v>0.8164965809</v>
      </c>
      <c r="AA95" s="266">
        <f>IFERROR(__xludf.DUMMYFUNCTION("""COMPUTED_VALUE"""),1.8)</f>
        <v>1.8</v>
      </c>
      <c r="AB95" s="265" t="str">
        <f>IFERROR(__xludf.DUMMYFUNCTION("""COMPUTED_VALUE"""),"Careless")</f>
        <v>Careless</v>
      </c>
      <c r="AC95" s="265" t="str">
        <f>IFERROR(__xludf.DUMMYFUNCTION("""COMPUTED_VALUE"""),"Vacation Manor")</f>
        <v>Vacation Manor</v>
      </c>
      <c r="AD95" s="267">
        <f t="shared" si="26"/>
        <v>5.67</v>
      </c>
    </row>
    <row r="96">
      <c r="A96" s="289" t="s">
        <v>409</v>
      </c>
      <c r="B96" s="269"/>
      <c r="C96" s="270" t="s">
        <v>381</v>
      </c>
      <c r="D96" s="271" t="s">
        <v>381</v>
      </c>
      <c r="E96" s="272"/>
      <c r="F96" s="273" t="s">
        <v>382</v>
      </c>
      <c r="G96" s="274"/>
      <c r="H96" s="275"/>
      <c r="I96" s="349" t="str">
        <f>IFERROR(__xludf.DUMMYFUNCTION("FILTER(AB$86:AB$98, V$86:V$98=INT(MID(A96,6,1)))"),"TRICERATOPS")</f>
        <v>TRICERATOPS</v>
      </c>
      <c r="J96" s="38">
        <f t="shared" si="27"/>
        <v>3</v>
      </c>
      <c r="K96" s="302" t="str">
        <f t="shared" si="28"/>
        <v>Face My Fears - KINGDOM Orchestra Instrumental Version</v>
      </c>
      <c r="L96" s="38">
        <f t="shared" si="29"/>
        <v>4</v>
      </c>
      <c r="M96" s="355" t="str">
        <f>IFERROR(__xludf.DUMMYFUNCTION("FILTER(AB$86:AB$98, V$86:V$98=INT(RIGHT(A96,2)))"),"Face My Fears - KINGDOM Orchestra Instrumental Version")</f>
        <v>Face My Fears - KINGDOM Orchestra Instrumental Version</v>
      </c>
      <c r="N96" s="275" t="s">
        <v>382</v>
      </c>
      <c r="O96" s="274" t="s">
        <v>381</v>
      </c>
      <c r="P96" s="273"/>
      <c r="Q96" s="272" t="s">
        <v>382</v>
      </c>
      <c r="R96" s="271"/>
      <c r="S96" s="270"/>
      <c r="T96" s="269" t="s">
        <v>381</v>
      </c>
      <c r="V96" s="298">
        <f t="shared" si="25"/>
        <v>13</v>
      </c>
      <c r="W96" s="264">
        <f>IFERROR(__xludf.DUMMYFUNCTION("""COMPUTED_VALUE"""),46197.0)</f>
        <v>46197</v>
      </c>
      <c r="X96" s="265" t="str">
        <f>IFERROR(__xludf.DUMMYFUNCTION("""COMPUTED_VALUE"""),"Logan")</f>
        <v>Logan</v>
      </c>
      <c r="Y96" s="266">
        <f>IFERROR(__xludf.DUMMYFUNCTION("""COMPUTED_VALUE"""),2.8333333333333335)</f>
        <v>2.833333333</v>
      </c>
      <c r="Z96" s="266">
        <f>IFERROR(__xludf.DUMMYFUNCTION("""COMPUTED_VALUE"""),1.9507833184532708)</f>
        <v>1.950783318</v>
      </c>
      <c r="AA96" s="266">
        <f>IFERROR(__xludf.DUMMYFUNCTION("""COMPUTED_VALUE"""),3.2)</f>
        <v>3.2</v>
      </c>
      <c r="AB96" s="265" t="str">
        <f>IFERROR(__xludf.DUMMYFUNCTION("""COMPUTED_VALUE"""),"Somedays")</f>
        <v>Somedays</v>
      </c>
      <c r="AC96" s="265" t="str">
        <f>IFERROR(__xludf.DUMMYFUNCTION("""COMPUTED_VALUE"""),"Sonny Folders, Jazzy, D.O.D.")</f>
        <v>Sonny Folders, Jazzy, D.O.D.</v>
      </c>
      <c r="AD96" s="267">
        <f t="shared" si="26"/>
        <v>1.11</v>
      </c>
    </row>
    <row r="97">
      <c r="A97" s="289" t="s">
        <v>413</v>
      </c>
      <c r="B97" s="310" t="s">
        <v>381</v>
      </c>
      <c r="C97" s="311" t="str">
        <f>IFERROR(__xludf.DUMMYFUNCTION("AI(""Fill an appropriate value for this cell based on the table context"")"),"")</f>
        <v/>
      </c>
      <c r="D97" s="312" t="s">
        <v>381</v>
      </c>
      <c r="E97" s="313"/>
      <c r="F97" s="314"/>
      <c r="G97" s="315" t="s">
        <v>381</v>
      </c>
      <c r="H97" s="316" t="s">
        <v>382</v>
      </c>
      <c r="I97" s="378" t="str">
        <f>IFERROR(__xludf.DUMMYFUNCTION("FILTER(AB$86:AB$98, V$86:V$98=INT(MID(A97,6,1)))"),"Oxygen")</f>
        <v>Oxygen</v>
      </c>
      <c r="J97" s="318">
        <f t="shared" si="27"/>
        <v>4</v>
      </c>
      <c r="K97" s="382" t="str">
        <f t="shared" si="28"/>
        <v>Oxygen</v>
      </c>
      <c r="L97" s="318">
        <f t="shared" si="29"/>
        <v>1</v>
      </c>
      <c r="M97" s="354" t="str">
        <f>IFERROR(__xludf.DUMMYFUNCTION("FILTER(AB$86:AB$98, V$86:V$98=INT(RIGHT(A97,2)))"),"Dive Bar Named Nirvana")</f>
        <v>Dive Bar Named Nirvana</v>
      </c>
      <c r="N97" s="316"/>
      <c r="O97" s="315"/>
      <c r="P97" s="314" t="s">
        <v>382</v>
      </c>
      <c r="Q97" s="313"/>
      <c r="R97" s="312"/>
      <c r="S97" s="311"/>
      <c r="T97" s="310"/>
      <c r="V97" s="298">
        <f t="shared" si="25"/>
        <v>11</v>
      </c>
      <c r="W97" s="264">
        <f>IFERROR(__xludf.DUMMYFUNCTION("""COMPUTED_VALUE"""),46199.0)</f>
        <v>46199</v>
      </c>
      <c r="X97" s="265" t="str">
        <f>IFERROR(__xludf.DUMMYFUNCTION("""COMPUTED_VALUE"""),"Weston")</f>
        <v>Weston</v>
      </c>
      <c r="Y97" s="266">
        <f>IFERROR(__xludf.DUMMYFUNCTION("""COMPUTED_VALUE"""),2.6666666666666665)</f>
        <v>2.666666667</v>
      </c>
      <c r="Z97" s="266">
        <f>IFERROR(__xludf.DUMMYFUNCTION("""COMPUTED_VALUE"""),1.247219128924647)</f>
        <v>1.247219129</v>
      </c>
      <c r="AA97" s="266">
        <f>IFERROR(__xludf.DUMMYFUNCTION("""COMPUTED_VALUE"""),3.0)</f>
        <v>3</v>
      </c>
      <c r="AB97" s="265" t="str">
        <f>IFERROR(__xludf.DUMMYFUNCTION("""COMPUTED_VALUE"""),"Face My Fears - KINGDOM Orchestra Instrumental Version")</f>
        <v>Face My Fears - KINGDOM Orchestra Instrumental Version</v>
      </c>
      <c r="AC97" s="265" t="str">
        <f>IFERROR(__xludf.DUMMYFUNCTION("""COMPUTED_VALUE"""),"Hikaru Utada, Skrillex")</f>
        <v>Hikaru Utada, Skrillex</v>
      </c>
      <c r="AD97" s="267">
        <f t="shared" si="26"/>
        <v>3.34</v>
      </c>
    </row>
    <row r="98">
      <c r="A98" s="335" t="s">
        <v>418</v>
      </c>
      <c r="B98" s="269"/>
      <c r="C98" s="270" t="s">
        <v>381</v>
      </c>
      <c r="D98" s="271"/>
      <c r="E98" s="272"/>
      <c r="F98" s="273" t="s">
        <v>382</v>
      </c>
      <c r="G98" s="274"/>
      <c r="H98" s="275" t="s">
        <v>382</v>
      </c>
      <c r="I98" s="347" t="str">
        <f>IFERROR(__xludf.DUMMYFUNCTION("FILTER(AB$86:AB$98, V$86:V$98=INT(MID(A98,6,1)))"),"All the small things")</f>
        <v>All the small things</v>
      </c>
      <c r="J98" s="38">
        <f t="shared" si="27"/>
        <v>3</v>
      </c>
      <c r="K98" s="288" t="str">
        <f t="shared" si="28"/>
        <v>Somedays</v>
      </c>
      <c r="L98" s="38">
        <f t="shared" si="29"/>
        <v>4</v>
      </c>
      <c r="M98" s="378" t="str">
        <f>IFERROR(__xludf.DUMMYFUNCTION("FILTER(AB$86:AB$98, V$86:V$98=INT(RIGHT(A98,2)))"),"Somedays")</f>
        <v>Somedays</v>
      </c>
      <c r="N98" s="275"/>
      <c r="O98" s="274" t="s">
        <v>381</v>
      </c>
      <c r="P98" s="282"/>
      <c r="Q98" s="272" t="s">
        <v>382</v>
      </c>
      <c r="R98" s="271" t="s">
        <v>381</v>
      </c>
      <c r="S98" s="270"/>
      <c r="T98" s="269" t="s">
        <v>381</v>
      </c>
      <c r="V98" s="298">
        <f t="shared" si="25"/>
        <v>3</v>
      </c>
      <c r="W98" s="264">
        <f>IFERROR(__xludf.DUMMYFUNCTION("""COMPUTED_VALUE"""),46202.0)</f>
        <v>46202</v>
      </c>
      <c r="X98" s="265" t="str">
        <f>IFERROR(__xludf.DUMMYFUNCTION("""COMPUTED_VALUE"""),"Flocco")</f>
        <v>Flocco</v>
      </c>
      <c r="Y98" s="266">
        <f>IFERROR(__xludf.DUMMYFUNCTION("""COMPUTED_VALUE"""),1.5)</f>
        <v>1.5</v>
      </c>
      <c r="Z98" s="266">
        <f>IFERROR(__xludf.DUMMYFUNCTION("""COMPUTED_VALUE"""),0.5)</f>
        <v>0.5</v>
      </c>
      <c r="AA98" s="266">
        <f>IFERROR(__xludf.DUMMYFUNCTION("""COMPUTED_VALUE"""),1.6)</f>
        <v>1.6</v>
      </c>
      <c r="AB98" s="265" t="str">
        <f>IFERROR(__xludf.DUMMYFUNCTION("""COMPUTED_VALUE"""),"No more regrets")</f>
        <v>No more regrets</v>
      </c>
      <c r="AC98" s="265" t="str">
        <f>IFERROR(__xludf.DUMMYFUNCTION("""COMPUTED_VALUE"""),"Almost Monday")</f>
        <v>Almost Monday</v>
      </c>
      <c r="AD98" s="267">
        <f t="shared" si="26"/>
        <v>12.01</v>
      </c>
    </row>
    <row r="99">
      <c r="I99" s="234"/>
      <c r="J99" s="234"/>
      <c r="K99" s="234"/>
      <c r="L99" s="234"/>
      <c r="M99" s="234"/>
    </row>
    <row r="100">
      <c r="I100" s="234"/>
      <c r="J100" s="234"/>
      <c r="K100" s="234"/>
      <c r="L100" s="234"/>
      <c r="M100" s="234"/>
    </row>
    <row r="101">
      <c r="I101" s="234"/>
      <c r="J101" s="234"/>
      <c r="K101" s="234"/>
      <c r="L101" s="234"/>
      <c r="M101" s="234"/>
    </row>
    <row r="102">
      <c r="A102" s="29" t="s">
        <v>576</v>
      </c>
      <c r="V102" s="262" t="s">
        <v>367</v>
      </c>
      <c r="W102" s="262" t="s">
        <v>19</v>
      </c>
      <c r="X102" s="262" t="s">
        <v>16</v>
      </c>
      <c r="Y102" s="262" t="s">
        <v>75</v>
      </c>
      <c r="Z102" s="262" t="s">
        <v>76</v>
      </c>
      <c r="AA102" s="262" t="s">
        <v>78</v>
      </c>
      <c r="AB102" s="262" t="s">
        <v>368</v>
      </c>
      <c r="AC102" s="262" t="s">
        <v>82</v>
      </c>
      <c r="AD102" s="262" t="s">
        <v>88</v>
      </c>
    </row>
    <row r="103">
      <c r="A103" s="262" t="s">
        <v>369</v>
      </c>
      <c r="B103" s="262" t="s">
        <v>370</v>
      </c>
      <c r="C103" s="262" t="s">
        <v>371</v>
      </c>
      <c r="D103" s="262" t="s">
        <v>372</v>
      </c>
      <c r="E103" s="262" t="s">
        <v>373</v>
      </c>
      <c r="F103" s="262" t="s">
        <v>374</v>
      </c>
      <c r="G103" s="262" t="s">
        <v>51</v>
      </c>
      <c r="H103" s="29" t="s">
        <v>375</v>
      </c>
      <c r="I103" s="29" t="s">
        <v>376</v>
      </c>
      <c r="J103" s="29" t="s">
        <v>377</v>
      </c>
      <c r="K103" s="29" t="s">
        <v>21</v>
      </c>
      <c r="L103" s="29" t="s">
        <v>378</v>
      </c>
      <c r="M103" s="29" t="s">
        <v>379</v>
      </c>
      <c r="N103" s="29" t="s">
        <v>375</v>
      </c>
      <c r="O103" s="262" t="s">
        <v>51</v>
      </c>
      <c r="P103" s="262" t="s">
        <v>374</v>
      </c>
      <c r="Q103" s="262" t="s">
        <v>373</v>
      </c>
      <c r="R103" s="262" t="s">
        <v>372</v>
      </c>
      <c r="S103" s="262" t="s">
        <v>371</v>
      </c>
      <c r="T103" s="262" t="s">
        <v>370</v>
      </c>
      <c r="V103" s="298">
        <f t="shared" ref="V103:V116" si="31">RANK(AD103,AD$103:AD$116)</f>
        <v>10</v>
      </c>
      <c r="W103" s="295">
        <f>IFERROR(__xludf.DUMMYFUNCTION("FILTER(Rankings!D:J, Rankings!D:D &gt;= DATE(2026,7,1), Rankings!D:D &lt; DATE(2026,8,1), Rankings!U:U = TRUE)"),46204.0)</f>
        <v>46204</v>
      </c>
      <c r="X103" s="296" t="str">
        <f>IFERROR(__xludf.DUMMYFUNCTION("""COMPUTED_VALUE"""),"Logan")</f>
        <v>Logan</v>
      </c>
      <c r="Y103" s="297">
        <f>IFERROR(__xludf.DUMMYFUNCTION("""COMPUTED_VALUE"""),2.5)</f>
        <v>2.5</v>
      </c>
      <c r="Z103" s="297">
        <f>IFERROR(__xludf.DUMMYFUNCTION("""COMPUTED_VALUE"""),1.3844373104863459)</f>
        <v>1.38443731</v>
      </c>
      <c r="AA103" s="297">
        <f>IFERROR(__xludf.DUMMYFUNCTION("""COMPUTED_VALUE"""),2.8)</f>
        <v>2.8</v>
      </c>
      <c r="AB103" s="296" t="str">
        <f>IFERROR(__xludf.DUMMYFUNCTION("""COMPUTED_VALUE"""),"Waiting Room")</f>
        <v>Waiting Room</v>
      </c>
      <c r="AC103" s="299" t="str">
        <f>IFERROR(__xludf.DUMMYFUNCTION("""COMPUTED_VALUE"""),"Jenevieve, Jordan Ward")</f>
        <v>Jenevieve, Jordan Ward</v>
      </c>
      <c r="AD103" s="299">
        <f t="shared" ref="AD103:AD116" si="32">IF(ISBLANK(W103), "", RANK(Y103, Y$103:Y$116) + RANK(AA103, AA$103:AA$116)/10 + RANK(Z103, Z$103:Z$116)/100)</f>
        <v>5.47</v>
      </c>
    </row>
    <row r="104">
      <c r="A104" s="268" t="s">
        <v>380</v>
      </c>
      <c r="B104" s="269"/>
      <c r="C104" s="270"/>
      <c r="D104" s="271"/>
      <c r="E104" s="272"/>
      <c r="F104" s="273"/>
      <c r="G104" s="274"/>
      <c r="H104" s="275"/>
      <c r="I104" s="182" t="str">
        <f>K106</f>
        <v>TBD</v>
      </c>
      <c r="J104" s="38">
        <f t="shared" ref="J104:J116" si="33">COUNTIF(B104:H104,"x")</f>
        <v>0</v>
      </c>
      <c r="K104" s="38" t="str">
        <f t="shared" ref="K104:K116" si="34">IF(J104&gt;=4,I104,IF(L104&gt;=4,M104,"TBD"))</f>
        <v>TBD</v>
      </c>
      <c r="L104" s="38">
        <f t="shared" ref="L104:L116" si="35">COUNTIF(N104:T104,"x")</f>
        <v>0</v>
      </c>
      <c r="M104" s="182" t="str">
        <f>K105</f>
        <v>TBD</v>
      </c>
      <c r="N104" s="275"/>
      <c r="O104" s="274"/>
      <c r="P104" s="273"/>
      <c r="Q104" s="272"/>
      <c r="R104" s="271"/>
      <c r="S104" s="270"/>
      <c r="T104" s="269"/>
      <c r="V104" s="298">
        <f t="shared" si="31"/>
        <v>3</v>
      </c>
      <c r="W104" s="264">
        <f>IFERROR(__xludf.DUMMYFUNCTION("""COMPUTED_VALUE"""),46206.0)</f>
        <v>46206</v>
      </c>
      <c r="X104" s="265" t="str">
        <f>IFERROR(__xludf.DUMMYFUNCTION("""COMPUTED_VALUE"""),"Flocco")</f>
        <v>Flocco</v>
      </c>
      <c r="Y104" s="266">
        <f>IFERROR(__xludf.DUMMYFUNCTION("""COMPUTED_VALUE"""),2.0)</f>
        <v>2</v>
      </c>
      <c r="Z104" s="266">
        <f>IFERROR(__xludf.DUMMYFUNCTION("""COMPUTED_VALUE"""),1.1547005383792515)</f>
        <v>1.154700538</v>
      </c>
      <c r="AA104" s="266">
        <f>IFERROR(__xludf.DUMMYFUNCTION("""COMPUTED_VALUE"""),2.2)</f>
        <v>2.2</v>
      </c>
      <c r="AB104" s="265" t="str">
        <f>IFERROR(__xludf.DUMMYFUNCTION("""COMPUTED_VALUE"""),"Where'd all the time go")</f>
        <v>Where'd all the time go</v>
      </c>
      <c r="AC104" s="267" t="str">
        <f>IFERROR(__xludf.DUMMYFUNCTION("""COMPUTED_VALUE"""),"Dr dog")</f>
        <v>Dr dog</v>
      </c>
      <c r="AD104" s="299">
        <f t="shared" si="32"/>
        <v>10.89</v>
      </c>
    </row>
    <row r="105">
      <c r="A105" s="268" t="s">
        <v>385</v>
      </c>
      <c r="B105" s="269"/>
      <c r="C105" s="270"/>
      <c r="D105" s="271"/>
      <c r="E105" s="272"/>
      <c r="F105" s="273"/>
      <c r="G105" s="274"/>
      <c r="H105" s="275"/>
      <c r="I105" s="182" t="str">
        <f t="shared" ref="I105:I106" si="36">K109</f>
        <v>TBD</v>
      </c>
      <c r="J105" s="38">
        <f t="shared" si="33"/>
        <v>0</v>
      </c>
      <c r="K105" s="38" t="str">
        <f t="shared" si="34"/>
        <v>TBD</v>
      </c>
      <c r="L105" s="38">
        <f t="shared" si="35"/>
        <v>0</v>
      </c>
      <c r="M105" s="347" t="str">
        <f>K108</f>
        <v>Where'd all the time go</v>
      </c>
      <c r="N105" s="275"/>
      <c r="O105" s="274"/>
      <c r="P105" s="273"/>
      <c r="Q105" s="272"/>
      <c r="R105" s="271"/>
      <c r="S105" s="270"/>
      <c r="T105" s="269"/>
      <c r="V105" s="298">
        <f t="shared" si="31"/>
        <v>14</v>
      </c>
      <c r="W105" s="264">
        <f>IFERROR(__xludf.DUMMYFUNCTION("""COMPUTED_VALUE"""),46209.0)</f>
        <v>46209</v>
      </c>
      <c r="X105" s="265" t="str">
        <f>IFERROR(__xludf.DUMMYFUNCTION("""COMPUTED_VALUE"""),"Weston")</f>
        <v>Weston</v>
      </c>
      <c r="Y105" s="266">
        <f>IFERROR(__xludf.DUMMYFUNCTION("""COMPUTED_VALUE"""),2.8333333333333335)</f>
        <v>2.833333333</v>
      </c>
      <c r="Z105" s="266">
        <f>IFERROR(__xludf.DUMMYFUNCTION("""COMPUTED_VALUE"""),1.7716909687891083)</f>
        <v>1.771690969</v>
      </c>
      <c r="AA105" s="266">
        <f>IFERROR(__xludf.DUMMYFUNCTION("""COMPUTED_VALUE"""),3.2)</f>
        <v>3.2</v>
      </c>
      <c r="AB105" s="265" t="str">
        <f>IFERROR(__xludf.DUMMYFUNCTION("""COMPUTED_VALUE"""),"Long Beach")</f>
        <v>Long Beach</v>
      </c>
      <c r="AC105" s="267" t="str">
        <f>IFERROR(__xludf.DUMMYFUNCTION("""COMPUTED_VALUE"""),"Kota the Friend, Hello O'shay, Alex Banin")</f>
        <v>Kota the Friend, Hello O'shay, Alex Banin</v>
      </c>
      <c r="AD105" s="299">
        <f t="shared" si="32"/>
        <v>1.12</v>
      </c>
    </row>
    <row r="106">
      <c r="A106" s="268" t="s">
        <v>389</v>
      </c>
      <c r="B106" s="269"/>
      <c r="C106" s="270"/>
      <c r="D106" s="271"/>
      <c r="E106" s="272"/>
      <c r="F106" s="273"/>
      <c r="G106" s="274"/>
      <c r="H106" s="275"/>
      <c r="I106" s="182" t="str">
        <f t="shared" si="36"/>
        <v>TBD</v>
      </c>
      <c r="J106" s="38">
        <f t="shared" si="33"/>
        <v>0</v>
      </c>
      <c r="K106" s="38" t="str">
        <f t="shared" si="34"/>
        <v>TBD</v>
      </c>
      <c r="L106" s="38">
        <f t="shared" si="35"/>
        <v>0</v>
      </c>
      <c r="M106" s="182" t="str">
        <f>K107</f>
        <v>TBD</v>
      </c>
      <c r="N106" s="275"/>
      <c r="O106" s="274"/>
      <c r="P106" s="273"/>
      <c r="Q106" s="272"/>
      <c r="R106" s="271"/>
      <c r="S106" s="270"/>
      <c r="T106" s="269"/>
      <c r="V106" s="298">
        <f t="shared" si="31"/>
        <v>8</v>
      </c>
      <c r="W106" s="264">
        <f>IFERROR(__xludf.DUMMYFUNCTION("""COMPUTED_VALUE"""),46211.0)</f>
        <v>46211</v>
      </c>
      <c r="X106" s="265" t="str">
        <f>IFERROR(__xludf.DUMMYFUNCTION("""COMPUTED_VALUE"""),"Flocco")</f>
        <v>Flocco</v>
      </c>
      <c r="Y106" s="266">
        <f>IFERROR(__xludf.DUMMYFUNCTION("""COMPUTED_VALUE"""),2.5)</f>
        <v>2.5</v>
      </c>
      <c r="Z106" s="266">
        <f>IFERROR(__xludf.DUMMYFUNCTION("""COMPUTED_VALUE"""),0.9574271077563381)</f>
        <v>0.9574271078</v>
      </c>
      <c r="AA106" s="266">
        <f>IFERROR(__xludf.DUMMYFUNCTION("""COMPUTED_VALUE"""),2.8)</f>
        <v>2.8</v>
      </c>
      <c r="AB106" s="265" t="str">
        <f>IFERROR(__xludf.DUMMYFUNCTION("""COMPUTED_VALUE"""),"Black Madonna")</f>
        <v>Black Madonna</v>
      </c>
      <c r="AC106" s="267" t="str">
        <f>IFERROR(__xludf.DUMMYFUNCTION("""COMPUTED_VALUE"""),"Cage the Elephant")</f>
        <v>Cage the Elephant</v>
      </c>
      <c r="AD106" s="299">
        <f t="shared" si="32"/>
        <v>5.52</v>
      </c>
    </row>
    <row r="107">
      <c r="A107" s="39" t="s">
        <v>390</v>
      </c>
      <c r="B107" s="269"/>
      <c r="C107" s="270" t="s">
        <v>381</v>
      </c>
      <c r="D107" s="271" t="s">
        <v>381</v>
      </c>
      <c r="E107" s="272"/>
      <c r="F107" s="273"/>
      <c r="G107" s="284"/>
      <c r="H107" s="275"/>
      <c r="I107" s="383" t="str">
        <f t="shared" ref="I107:I108" si="37">K115</f>
        <v>Next To Normal</v>
      </c>
      <c r="J107" s="38">
        <f t="shared" si="33"/>
        <v>2</v>
      </c>
      <c r="K107" s="38" t="str">
        <f t="shared" si="34"/>
        <v>TBD</v>
      </c>
      <c r="L107" s="38">
        <f t="shared" si="35"/>
        <v>0</v>
      </c>
      <c r="M107" s="354" t="str">
        <f>K114</f>
        <v>Ignorance</v>
      </c>
      <c r="N107" s="275"/>
      <c r="O107" s="274"/>
      <c r="P107" s="273"/>
      <c r="Q107" s="278"/>
      <c r="R107" s="271"/>
      <c r="S107" s="270"/>
      <c r="T107" s="269"/>
      <c r="V107" s="298">
        <f t="shared" si="31"/>
        <v>6</v>
      </c>
      <c r="W107" s="264">
        <f>IFERROR(__xludf.DUMMYFUNCTION("""COMPUTED_VALUE"""),46213.0)</f>
        <v>46213</v>
      </c>
      <c r="X107" s="265" t="str">
        <f>IFERROR(__xludf.DUMMYFUNCTION("""COMPUTED_VALUE"""),"Logan")</f>
        <v>Logan</v>
      </c>
      <c r="Y107" s="266">
        <f>IFERROR(__xludf.DUMMYFUNCTION("""COMPUTED_VALUE"""),2.1666666666666665)</f>
        <v>2.166666667</v>
      </c>
      <c r="Z107" s="266">
        <f>IFERROR(__xludf.DUMMYFUNCTION("""COMPUTED_VALUE"""),1.0671873729054748)</f>
        <v>1.067187373</v>
      </c>
      <c r="AA107" s="266">
        <f>IFERROR(__xludf.DUMMYFUNCTION("""COMPUTED_VALUE"""),2.2)</f>
        <v>2.2</v>
      </c>
      <c r="AB107" s="265" t="str">
        <f>IFERROR(__xludf.DUMMYFUNCTION("""COMPUTED_VALUE"""),"COWBELL WARRIORS!")</f>
        <v>COWBELL WARRIORS!</v>
      </c>
      <c r="AC107" s="267" t="str">
        <f>IFERROR(__xludf.DUMMYFUNCTION("""COMPUTED_VALUE"""),"SXMPRA, Ski Mask The Slump God")</f>
        <v>SXMPRA, Ski Mask The Slump God</v>
      </c>
      <c r="AD107" s="299">
        <f t="shared" si="32"/>
        <v>8.91</v>
      </c>
    </row>
    <row r="108">
      <c r="A108" s="39" t="s">
        <v>393</v>
      </c>
      <c r="B108" s="269" t="s">
        <v>381</v>
      </c>
      <c r="C108" s="270"/>
      <c r="D108" s="271" t="s">
        <v>381</v>
      </c>
      <c r="E108" s="272"/>
      <c r="F108" s="273" t="s">
        <v>382</v>
      </c>
      <c r="G108" s="274" t="s">
        <v>382</v>
      </c>
      <c r="H108" s="275"/>
      <c r="I108" s="347" t="str">
        <f t="shared" si="37"/>
        <v>Where'd all the time go</v>
      </c>
      <c r="J108" s="38">
        <f t="shared" si="33"/>
        <v>4</v>
      </c>
      <c r="K108" s="277" t="str">
        <f t="shared" si="34"/>
        <v>Where'd all the time go</v>
      </c>
      <c r="L108" s="38">
        <f t="shared" si="35"/>
        <v>1</v>
      </c>
      <c r="M108" s="354" t="str">
        <f>K113</f>
        <v>The Bottom of It</v>
      </c>
      <c r="N108" s="275"/>
      <c r="O108" s="274"/>
      <c r="P108" s="273"/>
      <c r="Q108" s="272"/>
      <c r="R108" s="271"/>
      <c r="S108" s="270" t="s">
        <v>381</v>
      </c>
      <c r="T108" s="269"/>
      <c r="V108" s="298">
        <f t="shared" si="31"/>
        <v>4</v>
      </c>
      <c r="W108" s="264">
        <f>IFERROR(__xludf.DUMMYFUNCTION("""COMPUTED_VALUE"""),46216.0)</f>
        <v>46216</v>
      </c>
      <c r="X108" s="265" t="str">
        <f>IFERROR(__xludf.DUMMYFUNCTION("""COMPUTED_VALUE"""),"Parker")</f>
        <v>Parker</v>
      </c>
      <c r="Y108" s="266">
        <f>IFERROR(__xludf.DUMMYFUNCTION("""COMPUTED_VALUE"""),2.0)</f>
        <v>2</v>
      </c>
      <c r="Z108" s="266">
        <f>IFERROR(__xludf.DUMMYFUNCTION("""COMPUTED_VALUE"""),1.4142135623730951)</f>
        <v>1.414213562</v>
      </c>
      <c r="AA108" s="266">
        <f>IFERROR(__xludf.DUMMYFUNCTION("""COMPUTED_VALUE"""),2.2)</f>
        <v>2.2</v>
      </c>
      <c r="AB108" s="265" t="str">
        <f>IFERROR(__xludf.DUMMYFUNCTION("""COMPUTED_VALUE"""),"Next To Normal")</f>
        <v>Next To Normal</v>
      </c>
      <c r="AC108" s="267" t="str">
        <f>IFERROR(__xludf.DUMMYFUNCTION("""COMPUTED_VALUE"""),"Lucious")</f>
        <v>Lucious</v>
      </c>
      <c r="AD108" s="299">
        <f t="shared" si="32"/>
        <v>10.86</v>
      </c>
    </row>
    <row r="109">
      <c r="A109" s="39" t="s">
        <v>394</v>
      </c>
      <c r="B109" s="269"/>
      <c r="C109" s="270"/>
      <c r="D109" s="271"/>
      <c r="E109" s="272"/>
      <c r="F109" s="273"/>
      <c r="G109" s="274"/>
      <c r="H109" s="275"/>
      <c r="I109" s="354" t="str">
        <f>IFERROR(__xludf.DUMMYFUNCTION("FILTER(AB$103:AB$116, V$103:V$116=INT(MID(A109,6,1)))"),"Favourite")</f>
        <v>Favourite</v>
      </c>
      <c r="J109" s="38">
        <f t="shared" si="33"/>
        <v>0</v>
      </c>
      <c r="K109" s="38" t="str">
        <f t="shared" si="34"/>
        <v>TBD</v>
      </c>
      <c r="L109" s="38">
        <f t="shared" si="35"/>
        <v>1</v>
      </c>
      <c r="M109" s="182" t="str">
        <f>K112</f>
        <v>TBD</v>
      </c>
      <c r="N109" s="275"/>
      <c r="O109" s="284"/>
      <c r="P109" s="273"/>
      <c r="Q109" s="272"/>
      <c r="R109" s="271" t="s">
        <v>381</v>
      </c>
      <c r="S109" s="270"/>
      <c r="T109" s="269"/>
      <c r="V109" s="298">
        <f t="shared" si="31"/>
        <v>7</v>
      </c>
      <c r="W109" s="264">
        <f>IFERROR(__xludf.DUMMYFUNCTION("""COMPUTED_VALUE"""),46218.0)</f>
        <v>46218</v>
      </c>
      <c r="X109" s="265" t="str">
        <f>IFERROR(__xludf.DUMMYFUNCTION("""COMPUTED_VALUE"""),"Weston")</f>
        <v>Weston</v>
      </c>
      <c r="Y109" s="266">
        <f>IFERROR(__xludf.DUMMYFUNCTION("""COMPUTED_VALUE"""),2.1666666666666665)</f>
        <v>2.166666667</v>
      </c>
      <c r="Z109" s="266">
        <f>IFERROR(__xludf.DUMMYFUNCTION("""COMPUTED_VALUE"""),1.3437096247164249)</f>
        <v>1.343709625</v>
      </c>
      <c r="AA109" s="266">
        <f>IFERROR(__xludf.DUMMYFUNCTION("""COMPUTED_VALUE"""),2.2)</f>
        <v>2.2</v>
      </c>
      <c r="AB109" s="265" t="str">
        <f>IFERROR(__xludf.DUMMYFUNCTION("""COMPUTED_VALUE"""),"Wayside")</f>
        <v>Wayside</v>
      </c>
      <c r="AC109" s="267" t="str">
        <f>IFERROR(__xludf.DUMMYFUNCTION("""COMPUTED_VALUE"""),"Ninajirachi")</f>
        <v>Ninajirachi</v>
      </c>
      <c r="AD109" s="299">
        <f t="shared" si="32"/>
        <v>8.88</v>
      </c>
    </row>
    <row r="110">
      <c r="A110" s="39" t="s">
        <v>398</v>
      </c>
      <c r="B110" s="269"/>
      <c r="C110" s="270" t="s">
        <v>381</v>
      </c>
      <c r="D110" s="271" t="s">
        <v>381</v>
      </c>
      <c r="E110" s="272"/>
      <c r="F110" s="273"/>
      <c r="G110" s="274"/>
      <c r="H110" s="275"/>
      <c r="I110" s="349" t="str">
        <f>IFERROR(__xludf.DUMMYFUNCTION("FILTER(AB$103:AB$116, V$103:V$116=INT(MID(A110,6,1)))"),"TELEPATHY LOVE")</f>
        <v>TELEPATHY LOVE</v>
      </c>
      <c r="J110" s="38">
        <f t="shared" si="33"/>
        <v>2</v>
      </c>
      <c r="K110" s="38" t="str">
        <f t="shared" si="34"/>
        <v>TBD</v>
      </c>
      <c r="L110" s="38">
        <f t="shared" si="35"/>
        <v>0</v>
      </c>
      <c r="M110" s="182" t="str">
        <f>K111</f>
        <v>TBD</v>
      </c>
      <c r="N110" s="275"/>
      <c r="O110" s="274"/>
      <c r="P110" s="273"/>
      <c r="Q110" s="278"/>
      <c r="R110" s="271"/>
      <c r="S110" s="270"/>
      <c r="T110" s="269"/>
      <c r="V110" s="298">
        <f t="shared" si="31"/>
        <v>1</v>
      </c>
      <c r="W110" s="264">
        <f>IFERROR(__xludf.DUMMYFUNCTION("""COMPUTED_VALUE"""),46220.0)</f>
        <v>46220</v>
      </c>
      <c r="X110" s="265" t="str">
        <f>IFERROR(__xludf.DUMMYFUNCTION("""COMPUTED_VALUE"""),"Giacomo")</f>
        <v>Giacomo</v>
      </c>
      <c r="Y110" s="266">
        <f>IFERROR(__xludf.DUMMYFUNCTION("""COMPUTED_VALUE"""),1.0)</f>
        <v>1</v>
      </c>
      <c r="Z110" s="266">
        <f>IFERROR(__xludf.DUMMYFUNCTION("""COMPUTED_VALUE"""),0.0)</f>
        <v>0</v>
      </c>
      <c r="AA110" s="266">
        <f>IFERROR(__xludf.DUMMYFUNCTION("""COMPUTED_VALUE"""),1.0)</f>
        <v>1</v>
      </c>
      <c r="AB110" s="265" t="str">
        <f>IFERROR(__xludf.DUMMYFUNCTION("""COMPUTED_VALUE"""),"TELEPATHY LOVE")</f>
        <v>TELEPATHY LOVE</v>
      </c>
      <c r="AC110" s="267" t="str">
        <f>IFERROR(__xludf.DUMMYFUNCTION("""COMPUTED_VALUE"""),"BNYX®, Clara La San")</f>
        <v>BNYX®, Clara La San</v>
      </c>
      <c r="AD110" s="299">
        <f t="shared" si="32"/>
        <v>15.54</v>
      </c>
    </row>
    <row r="111">
      <c r="A111" s="289" t="s">
        <v>400</v>
      </c>
      <c r="B111" s="269"/>
      <c r="C111" s="270" t="s">
        <v>381</v>
      </c>
      <c r="D111" s="271"/>
      <c r="E111" s="272"/>
      <c r="F111" s="273"/>
      <c r="G111" s="274" t="s">
        <v>382</v>
      </c>
      <c r="H111" s="275" t="s">
        <v>382</v>
      </c>
      <c r="I111" s="347" t="str">
        <f>IFERROR(__xludf.DUMMYFUNCTION("FILTER(AB$103:AB$116, V$103:V$116=INT(MID(A111,6,1)))"),"Black Madonna")</f>
        <v>Black Madonna</v>
      </c>
      <c r="J111" s="38">
        <f t="shared" si="33"/>
        <v>3</v>
      </c>
      <c r="K111" s="38" t="str">
        <f t="shared" si="34"/>
        <v>TBD</v>
      </c>
      <c r="L111" s="38">
        <f t="shared" si="35"/>
        <v>3</v>
      </c>
      <c r="M111" s="349" t="str">
        <f>IFERROR(__xludf.DUMMYFUNCTION("FILTER(AB$103:AB$116, V$103:V$116=INT(RIGHT(A111,1)))"),"Blah Blah")</f>
        <v>Blah Blah</v>
      </c>
      <c r="N111" s="275"/>
      <c r="O111" s="274"/>
      <c r="P111" s="273" t="s">
        <v>382</v>
      </c>
      <c r="Q111" s="272"/>
      <c r="R111" s="271" t="s">
        <v>381</v>
      </c>
      <c r="S111" s="270"/>
      <c r="T111" s="269" t="s">
        <v>381</v>
      </c>
      <c r="V111" s="298">
        <f t="shared" si="31"/>
        <v>13</v>
      </c>
      <c r="W111" s="264">
        <f>IFERROR(__xludf.DUMMYFUNCTION("""COMPUTED_VALUE"""),46223.0)</f>
        <v>46223</v>
      </c>
      <c r="X111" s="265" t="str">
        <f>IFERROR(__xludf.DUMMYFUNCTION("""COMPUTED_VALUE"""),"Giacomo")</f>
        <v>Giacomo</v>
      </c>
      <c r="Y111" s="266">
        <f>IFERROR(__xludf.DUMMYFUNCTION("""COMPUTED_VALUE"""),2.6666666666666665)</f>
        <v>2.666666667</v>
      </c>
      <c r="Z111" s="266">
        <f>IFERROR(__xludf.DUMMYFUNCTION("""COMPUTED_VALUE"""),1.699673171197595)</f>
        <v>1.699673171</v>
      </c>
      <c r="AA111" s="266">
        <f>IFERROR(__xludf.DUMMYFUNCTION("""COMPUTED_VALUE"""),3.0)</f>
        <v>3</v>
      </c>
      <c r="AB111" s="265" t="str">
        <f>IFERROR(__xludf.DUMMYFUNCTION("""COMPUTED_VALUE"""),"LIFE KEEPS GOING")</f>
        <v>LIFE KEEPS GOING</v>
      </c>
      <c r="AC111" s="267" t="str">
        <f>IFERROR(__xludf.DUMMYFUNCTION("""COMPUTED_VALUE"""),"Genesis Owusu")</f>
        <v>Genesis Owusu</v>
      </c>
      <c r="AD111" s="299">
        <f t="shared" si="32"/>
        <v>2.23</v>
      </c>
    </row>
    <row r="112">
      <c r="A112" s="289" t="s">
        <v>403</v>
      </c>
      <c r="B112" s="269"/>
      <c r="C112" s="270" t="s">
        <v>381</v>
      </c>
      <c r="D112" s="271" t="s">
        <v>381</v>
      </c>
      <c r="E112" s="272"/>
      <c r="F112" s="273"/>
      <c r="G112" s="274" t="s">
        <v>382</v>
      </c>
      <c r="H112" s="275"/>
      <c r="I112" s="355" t="str">
        <f>IFERROR(__xludf.DUMMYFUNCTION("FILTER(AB$103:AB$116, V$103:V$116=INT(MID(A112,6,1)))"),"Wayside")</f>
        <v>Wayside</v>
      </c>
      <c r="J112" s="38">
        <f t="shared" si="33"/>
        <v>3</v>
      </c>
      <c r="K112" s="38" t="str">
        <f t="shared" si="34"/>
        <v>TBD</v>
      </c>
      <c r="L112" s="38">
        <f t="shared" si="35"/>
        <v>3</v>
      </c>
      <c r="M112" s="378" t="str">
        <f>IFERROR(__xludf.DUMMYFUNCTION("FILTER(AB$103:AB$116, V$103:V$116=INT(RIGHT(A112,2)))"),"Waiting Room")</f>
        <v>Waiting Room</v>
      </c>
      <c r="N112" s="275" t="s">
        <v>382</v>
      </c>
      <c r="O112" s="274"/>
      <c r="P112" s="273" t="s">
        <v>382</v>
      </c>
      <c r="Q112" s="272"/>
      <c r="R112" s="271"/>
      <c r="S112" s="270"/>
      <c r="T112" s="269" t="s">
        <v>381</v>
      </c>
      <c r="V112" s="298">
        <f t="shared" si="31"/>
        <v>2</v>
      </c>
      <c r="W112" s="264">
        <f>IFERROR(__xludf.DUMMYFUNCTION("""COMPUTED_VALUE"""),46225.0)</f>
        <v>46225</v>
      </c>
      <c r="X112" s="265" t="str">
        <f>IFERROR(__xludf.DUMMYFUNCTION("""COMPUTED_VALUE"""),"TTAC")</f>
        <v>TTAC</v>
      </c>
      <c r="Y112" s="266">
        <f>IFERROR(__xludf.DUMMYFUNCTION("""COMPUTED_VALUE"""),1.8333333333333333)</f>
        <v>1.833333333</v>
      </c>
      <c r="Z112" s="266">
        <f>IFERROR(__xludf.DUMMYFUNCTION("""COMPUTED_VALUE"""),0.8975274678557507)</f>
        <v>0.8975274679</v>
      </c>
      <c r="AA112" s="266">
        <f>IFERROR(__xludf.DUMMYFUNCTION("""COMPUTED_VALUE"""),2.0)</f>
        <v>2</v>
      </c>
      <c r="AB112" s="265" t="str">
        <f>IFERROR(__xludf.DUMMYFUNCTION("""COMPUTED_VALUE"""),"Favourite")</f>
        <v>Favourite</v>
      </c>
      <c r="AC112" s="267" t="str">
        <f>IFERROR(__xludf.DUMMYFUNCTION("""COMPUTED_VALUE"""),"Fontaines D.C.")</f>
        <v>Fontaines D.C.</v>
      </c>
      <c r="AD112" s="299">
        <f t="shared" si="32"/>
        <v>14.43</v>
      </c>
    </row>
    <row r="113">
      <c r="A113" s="289" t="s">
        <v>409</v>
      </c>
      <c r="B113" s="269" t="s">
        <v>381</v>
      </c>
      <c r="C113" s="270"/>
      <c r="D113" s="271"/>
      <c r="E113" s="272"/>
      <c r="F113" s="273"/>
      <c r="G113" s="274"/>
      <c r="H113" s="275"/>
      <c r="I113" s="378" t="str">
        <f>IFERROR(__xludf.DUMMYFUNCTION("FILTER(AB$103:AB$116, V$103:V$116=INT(MID(A113,6,1)))"),"COWBELL WARRIORS!")</f>
        <v>COWBELL WARRIORS!</v>
      </c>
      <c r="J113" s="38">
        <f t="shared" si="33"/>
        <v>1</v>
      </c>
      <c r="K113" s="307" t="str">
        <f t="shared" si="34"/>
        <v>The Bottom of It</v>
      </c>
      <c r="L113" s="38">
        <f t="shared" si="35"/>
        <v>5</v>
      </c>
      <c r="M113" s="354" t="str">
        <f>IFERROR(__xludf.DUMMYFUNCTION("FILTER(AB$103:AB$116, V$103:V$116=INT(RIGHT(A113,2)))"),"The Bottom of It")</f>
        <v>The Bottom of It</v>
      </c>
      <c r="N113" s="275" t="s">
        <v>382</v>
      </c>
      <c r="O113" s="274" t="s">
        <v>382</v>
      </c>
      <c r="P113" s="273" t="s">
        <v>382</v>
      </c>
      <c r="Q113" s="272"/>
      <c r="R113" s="271" t="s">
        <v>381</v>
      </c>
      <c r="S113" s="270" t="s">
        <v>381</v>
      </c>
      <c r="T113" s="269"/>
      <c r="V113" s="298">
        <f t="shared" si="31"/>
        <v>5</v>
      </c>
      <c r="W113" s="264">
        <f>IFERROR(__xludf.DUMMYFUNCTION("""COMPUTED_VALUE"""),46227.0)</f>
        <v>46227</v>
      </c>
      <c r="X113" s="265" t="str">
        <f>IFERROR(__xludf.DUMMYFUNCTION("""COMPUTED_VALUE"""),"TTAC")</f>
        <v>TTAC</v>
      </c>
      <c r="Y113" s="266">
        <f>IFERROR(__xludf.DUMMYFUNCTION("""COMPUTED_VALUE"""),2.0)</f>
        <v>2</v>
      </c>
      <c r="Z113" s="266">
        <f>IFERROR(__xludf.DUMMYFUNCTION("""COMPUTED_VALUE"""),1.5275252316519468)</f>
        <v>1.527525232</v>
      </c>
      <c r="AA113" s="266">
        <f>IFERROR(__xludf.DUMMYFUNCTION("""COMPUTED_VALUE"""),2.2)</f>
        <v>2.2</v>
      </c>
      <c r="AB113" s="265" t="str">
        <f>IFERROR(__xludf.DUMMYFUNCTION("""COMPUTED_VALUE"""),"Ignorance")</f>
        <v>Ignorance</v>
      </c>
      <c r="AC113" s="267" t="str">
        <f>IFERROR(__xludf.DUMMYFUNCTION("""COMPUTED_VALUE"""),"Paramore")</f>
        <v>Paramore</v>
      </c>
      <c r="AD113" s="299">
        <f t="shared" si="32"/>
        <v>10.84</v>
      </c>
    </row>
    <row r="114">
      <c r="A114" s="289" t="s">
        <v>413</v>
      </c>
      <c r="B114" s="310" t="s">
        <v>381</v>
      </c>
      <c r="C114" s="311"/>
      <c r="D114" s="312"/>
      <c r="E114" s="313"/>
      <c r="F114" s="314" t="s">
        <v>382</v>
      </c>
      <c r="G114" s="315" t="s">
        <v>382</v>
      </c>
      <c r="H114" s="316" t="s">
        <v>382</v>
      </c>
      <c r="I114" s="354" t="str">
        <f>IFERROR(__xludf.DUMMYFUNCTION("FILTER(AB$103:AB$116, V$103:V$116=INT(MID(A114,6,1)))"),"Ignorance")</f>
        <v>Ignorance</v>
      </c>
      <c r="J114" s="318">
        <f t="shared" si="33"/>
        <v>4</v>
      </c>
      <c r="K114" s="386" t="str">
        <f t="shared" si="34"/>
        <v>Ignorance</v>
      </c>
      <c r="L114" s="318">
        <f t="shared" si="35"/>
        <v>2</v>
      </c>
      <c r="M114" s="348" t="str">
        <f>IFERROR(__xludf.DUMMYFUNCTION("FILTER(AB$103:AB$116, V$103:V$116=INT(RIGHT(A114,2)))"),"QUÉDATE BEBÉ")</f>
        <v>QUÉDATE BEBÉ</v>
      </c>
      <c r="N114" s="316"/>
      <c r="O114" s="315"/>
      <c r="P114" s="314"/>
      <c r="Q114" s="313"/>
      <c r="R114" s="312" t="s">
        <v>381</v>
      </c>
      <c r="S114" s="311" t="s">
        <v>381</v>
      </c>
      <c r="T114" s="310"/>
      <c r="V114" s="298">
        <f t="shared" si="31"/>
        <v>11</v>
      </c>
      <c r="W114" s="264">
        <f>IFERROR(__xludf.DUMMYFUNCTION("""COMPUTED_VALUE"""),46230.0)</f>
        <v>46230</v>
      </c>
      <c r="X114" s="265" t="str">
        <f>IFERROR(__xludf.DUMMYFUNCTION("""COMPUTED_VALUE"""),"TTAC")</f>
        <v>TTAC</v>
      </c>
      <c r="Y114" s="266">
        <f>IFERROR(__xludf.DUMMYFUNCTION("""COMPUTED_VALUE"""),2.6666666666666665)</f>
        <v>2.666666667</v>
      </c>
      <c r="Z114" s="266">
        <f>IFERROR(__xludf.DUMMYFUNCTION("""COMPUTED_VALUE"""),1.7950549357115013)</f>
        <v>1.795054936</v>
      </c>
      <c r="AA114" s="266">
        <f>IFERROR(__xludf.DUMMYFUNCTION("""COMPUTED_VALUE"""),2.8)</f>
        <v>2.8</v>
      </c>
      <c r="AB114" s="265" t="str">
        <f>IFERROR(__xludf.DUMMYFUNCTION("""COMPUTED_VALUE"""),"The Bottom of It")</f>
        <v>The Bottom of It</v>
      </c>
      <c r="AC114" s="267" t="str">
        <f>IFERROR(__xludf.DUMMYFUNCTION("""COMPUTED_VALUE"""),"Fruit Bats")</f>
        <v>Fruit Bats</v>
      </c>
      <c r="AD114" s="299">
        <f t="shared" si="32"/>
        <v>2.41</v>
      </c>
    </row>
    <row r="115">
      <c r="A115" s="335" t="s">
        <v>418</v>
      </c>
      <c r="B115" s="269" t="s">
        <v>381</v>
      </c>
      <c r="C115" s="270" t="s">
        <v>381</v>
      </c>
      <c r="D115" s="271"/>
      <c r="E115" s="272"/>
      <c r="F115" s="273" t="s">
        <v>382</v>
      </c>
      <c r="G115" s="274"/>
      <c r="H115" s="275" t="s">
        <v>382</v>
      </c>
      <c r="I115" s="348" t="str">
        <f>IFERROR(__xludf.DUMMYFUNCTION("FILTER(AB$103:AB$116, V$103:V$116=INT(MID(A115,6,1)))"),"Next To Normal")</f>
        <v>Next To Normal</v>
      </c>
      <c r="J115" s="38">
        <f t="shared" si="33"/>
        <v>4</v>
      </c>
      <c r="K115" s="281" t="str">
        <f t="shared" si="34"/>
        <v>Next To Normal</v>
      </c>
      <c r="L115" s="38">
        <f t="shared" si="35"/>
        <v>2</v>
      </c>
      <c r="M115" s="349" t="str">
        <f>IFERROR(__xludf.DUMMYFUNCTION("FILTER(AB$103:AB$116, V$103:V$116=INT(RIGHT(A115,2)))"),"LIFE KEEPS GOING")</f>
        <v>LIFE KEEPS GOING</v>
      </c>
      <c r="N115" s="275"/>
      <c r="O115" s="274" t="s">
        <v>382</v>
      </c>
      <c r="P115" s="282"/>
      <c r="Q115" s="272"/>
      <c r="R115" s="271" t="s">
        <v>381</v>
      </c>
      <c r="S115" s="270"/>
      <c r="T115" s="269"/>
      <c r="V115" s="298">
        <f t="shared" si="31"/>
        <v>9</v>
      </c>
      <c r="W115" s="264">
        <f>IFERROR(__xludf.DUMMYFUNCTION("""COMPUTED_VALUE"""),46232.0)</f>
        <v>46232</v>
      </c>
      <c r="X115" s="265" t="str">
        <f>IFERROR(__xludf.DUMMYFUNCTION("""COMPUTED_VALUE"""),"Giacomo")</f>
        <v>Giacomo</v>
      </c>
      <c r="Y115" s="266">
        <f>IFERROR(__xludf.DUMMYFUNCTION("""COMPUTED_VALUE"""),2.5)</f>
        <v>2.5</v>
      </c>
      <c r="Z115" s="266">
        <f>IFERROR(__xludf.DUMMYFUNCTION("""COMPUTED_VALUE"""),1.118033988749895)</f>
        <v>1.118033989</v>
      </c>
      <c r="AA115" s="266">
        <f>IFERROR(__xludf.DUMMYFUNCTION("""COMPUTED_VALUE"""),2.8)</f>
        <v>2.8</v>
      </c>
      <c r="AB115" s="265" t="str">
        <f>IFERROR(__xludf.DUMMYFUNCTION("""COMPUTED_VALUE"""),"Blah Blah")</f>
        <v>Blah Blah</v>
      </c>
      <c r="AC115" s="267" t="str">
        <f>IFERROR(__xludf.DUMMYFUNCTION("""COMPUTED_VALUE"""),"Joji")</f>
        <v>Joji</v>
      </c>
      <c r="AD115" s="299">
        <f t="shared" si="32"/>
        <v>5.5</v>
      </c>
    </row>
    <row r="116">
      <c r="A116" s="335" t="s">
        <v>458</v>
      </c>
      <c r="B116" s="269"/>
      <c r="C116" s="270" t="s">
        <v>381</v>
      </c>
      <c r="D116" s="271" t="s">
        <v>381</v>
      </c>
      <c r="E116" s="272"/>
      <c r="F116" s="273" t="s">
        <v>382</v>
      </c>
      <c r="G116" s="274" t="s">
        <v>382</v>
      </c>
      <c r="H116" s="275" t="s">
        <v>382</v>
      </c>
      <c r="I116" s="347" t="str">
        <f>IFERROR(__xludf.DUMMYFUNCTION("FILTER(AB$103:AB$116, V$103:V$116=INT(MID(A116,6,1)))"),"Where'd all the time go")</f>
        <v>Where'd all the time go</v>
      </c>
      <c r="J116" s="38">
        <f t="shared" si="33"/>
        <v>5</v>
      </c>
      <c r="K116" s="277" t="str">
        <f t="shared" si="34"/>
        <v>Where'd all the time go</v>
      </c>
      <c r="L116" s="38">
        <f t="shared" si="35"/>
        <v>1</v>
      </c>
      <c r="M116" s="355" t="str">
        <f>IFERROR(__xludf.DUMMYFUNCTION("FILTER(AB$103:AB$116, V$103:V$116=INT(RIGHT(A116,2)))"),"Long Beach")</f>
        <v>Long Beach</v>
      </c>
      <c r="N116" s="275"/>
      <c r="O116" s="274"/>
      <c r="P116" s="282"/>
      <c r="Q116" s="272"/>
      <c r="R116" s="271"/>
      <c r="S116" s="270"/>
      <c r="T116" s="269" t="s">
        <v>381</v>
      </c>
      <c r="V116" s="298">
        <f t="shared" si="31"/>
        <v>12</v>
      </c>
      <c r="W116" s="264">
        <f>IFERROR(__xludf.DUMMYFUNCTION("""COMPUTED_VALUE"""),46234.0)</f>
        <v>46234</v>
      </c>
      <c r="X116" s="265" t="str">
        <f>IFERROR(__xludf.DUMMYFUNCTION("""COMPUTED_VALUE"""),"Parker")</f>
        <v>Parker</v>
      </c>
      <c r="Y116" s="266">
        <f>IFERROR(__xludf.DUMMYFUNCTION("""COMPUTED_VALUE"""),2.6666666666666665)</f>
        <v>2.666666667</v>
      </c>
      <c r="Z116" s="266">
        <f>IFERROR(__xludf.DUMMYFUNCTION("""COMPUTED_VALUE"""),1.4907119849998596)</f>
        <v>1.490711985</v>
      </c>
      <c r="AA116" s="266">
        <f>IFERROR(__xludf.DUMMYFUNCTION("""COMPUTED_VALUE"""),3.0)</f>
        <v>3</v>
      </c>
      <c r="AB116" s="265" t="str">
        <f>IFERROR(__xludf.DUMMYFUNCTION("""COMPUTED_VALUE"""),"QUÉDATE BEBÉ")</f>
        <v>QUÉDATE BEBÉ</v>
      </c>
      <c r="AC116" s="267" t="str">
        <f>IFERROR(__xludf.DUMMYFUNCTION("""COMPUTED_VALUE"""),"Groupo Frontera")</f>
        <v>Groupo Frontera</v>
      </c>
      <c r="AD116" s="299">
        <f t="shared" si="32"/>
        <v>2.25</v>
      </c>
    </row>
    <row r="117">
      <c r="I117" s="234"/>
      <c r="J117" s="234"/>
      <c r="K117" s="234"/>
      <c r="L117" s="234"/>
      <c r="M117" s="234"/>
    </row>
    <row r="118">
      <c r="I118" s="234"/>
      <c r="J118" s="234"/>
      <c r="K118" s="234"/>
      <c r="L118" s="234"/>
      <c r="M118" s="234"/>
    </row>
    <row r="119">
      <c r="I119" s="234"/>
      <c r="J119" s="234"/>
      <c r="K119" s="234"/>
      <c r="L119" s="234"/>
      <c r="M119" s="234"/>
    </row>
    <row r="120">
      <c r="A120" s="29" t="s">
        <v>605</v>
      </c>
      <c r="V120" s="262" t="s">
        <v>367</v>
      </c>
      <c r="W120" s="262" t="s">
        <v>19</v>
      </c>
      <c r="X120" s="262" t="s">
        <v>16</v>
      </c>
      <c r="Y120" s="262" t="s">
        <v>75</v>
      </c>
      <c r="Z120" s="262" t="s">
        <v>76</v>
      </c>
      <c r="AA120" s="262" t="s">
        <v>78</v>
      </c>
      <c r="AB120" s="262" t="s">
        <v>368</v>
      </c>
      <c r="AC120" s="262" t="s">
        <v>82</v>
      </c>
      <c r="AD120" s="262" t="s">
        <v>88</v>
      </c>
    </row>
    <row r="121">
      <c r="A121" s="262" t="s">
        <v>369</v>
      </c>
      <c r="B121" s="262" t="s">
        <v>370</v>
      </c>
      <c r="C121" s="262" t="s">
        <v>371</v>
      </c>
      <c r="D121" s="262" t="s">
        <v>372</v>
      </c>
      <c r="E121" s="262" t="s">
        <v>373</v>
      </c>
      <c r="F121" s="262" t="s">
        <v>374</v>
      </c>
      <c r="G121" s="262" t="s">
        <v>51</v>
      </c>
      <c r="H121" s="29" t="s">
        <v>375</v>
      </c>
      <c r="I121" s="29" t="s">
        <v>376</v>
      </c>
      <c r="J121" s="29" t="s">
        <v>377</v>
      </c>
      <c r="K121" s="29" t="s">
        <v>21</v>
      </c>
      <c r="L121" s="29" t="s">
        <v>378</v>
      </c>
      <c r="M121" s="29" t="s">
        <v>379</v>
      </c>
      <c r="N121" s="29" t="s">
        <v>375</v>
      </c>
      <c r="O121" s="262" t="s">
        <v>51</v>
      </c>
      <c r="P121" s="262" t="s">
        <v>374</v>
      </c>
      <c r="Q121" s="262" t="s">
        <v>373</v>
      </c>
      <c r="R121" s="262" t="s">
        <v>372</v>
      </c>
      <c r="S121" s="262" t="s">
        <v>371</v>
      </c>
      <c r="T121" s="262" t="s">
        <v>370</v>
      </c>
      <c r="V121" s="298">
        <f t="shared" ref="V121:V133" si="38">RANK(AD121,AD$121:AD$133)</f>
        <v>12</v>
      </c>
      <c r="W121" s="295">
        <f>IFERROR(__xludf.DUMMYFUNCTION("FILTER(Rankings!D:J, Rankings!D:D &gt;= DATE(2026,8,1), Rankings!D:D &lt; DATE(2026,9,1), Rankings!U:U = TRUE)"),46237.0)</f>
        <v>46237</v>
      </c>
      <c r="X121" s="296" t="str">
        <f>IFERROR(__xludf.DUMMYFUNCTION("""COMPUTED_VALUE"""),"TTAC")</f>
        <v>TTAC</v>
      </c>
      <c r="Y121" s="297">
        <f>IFERROR(__xludf.DUMMYFUNCTION("""COMPUTED_VALUE"""),2.8333333333333335)</f>
        <v>2.833333333</v>
      </c>
      <c r="Z121" s="297">
        <f>IFERROR(__xludf.DUMMYFUNCTION("""COMPUTED_VALUE"""),1.3437096247164249)</f>
        <v>1.343709625</v>
      </c>
      <c r="AA121" s="297">
        <f>IFERROR(__xludf.DUMMYFUNCTION("""COMPUTED_VALUE"""),3.0)</f>
        <v>3</v>
      </c>
      <c r="AB121" s="296" t="str">
        <f>IFERROR(__xludf.DUMMYFUNCTION("""COMPUTED_VALUE"""),"Calling After Me")</f>
        <v>Calling After Me</v>
      </c>
      <c r="AC121" s="296" t="str">
        <f>IFERROR(__xludf.DUMMYFUNCTION("""COMPUTED_VALUE"""),"Wallows")</f>
        <v>Wallows</v>
      </c>
      <c r="AD121" s="299">
        <f t="shared" ref="AD121:AD133" si="39">IF(ISBLANK(W121), "", RANK(Y121, Y$121:Y$133) + RANK(AA121, AA$121:AA$133)/10 + RANK(Z121, Z$121:Z$133)/100)</f>
        <v>2.24</v>
      </c>
    </row>
    <row r="122">
      <c r="A122" s="268" t="s">
        <v>380</v>
      </c>
      <c r="B122" s="269"/>
      <c r="C122" s="270"/>
      <c r="D122" s="271"/>
      <c r="E122" s="272"/>
      <c r="F122" s="273"/>
      <c r="G122" s="274"/>
      <c r="H122" s="275"/>
      <c r="I122" s="182" t="str">
        <f>K124</f>
        <v>TBD</v>
      </c>
      <c r="J122" s="38">
        <f t="shared" ref="J122:J133" si="40">COUNTIF(B122:H122,"x")</f>
        <v>0</v>
      </c>
      <c r="K122" s="38" t="str">
        <f t="shared" ref="K122:K133" si="41">IF(J122&gt;=4,I122,IF(L122&gt;=4,M122,"TBD"))</f>
        <v>TBD</v>
      </c>
      <c r="L122" s="38">
        <f t="shared" ref="L122:L133" si="42">COUNTIF(N122:T122,"x")</f>
        <v>0</v>
      </c>
      <c r="M122" s="182" t="str">
        <f>K123</f>
        <v>TBD</v>
      </c>
      <c r="N122" s="275"/>
      <c r="O122" s="274"/>
      <c r="P122" s="273"/>
      <c r="Q122" s="272"/>
      <c r="R122" s="271"/>
      <c r="S122" s="270"/>
      <c r="T122" s="269"/>
      <c r="V122" s="298">
        <f t="shared" si="38"/>
        <v>6</v>
      </c>
      <c r="W122" s="264">
        <f>IFERROR(__xludf.DUMMYFUNCTION("""COMPUTED_VALUE"""),46239.0)</f>
        <v>46239</v>
      </c>
      <c r="X122" s="265" t="str">
        <f>IFERROR(__xludf.DUMMYFUNCTION("""COMPUTED_VALUE"""),"Weston")</f>
        <v>Weston</v>
      </c>
      <c r="Y122" s="266">
        <f>IFERROR(__xludf.DUMMYFUNCTION("""COMPUTED_VALUE"""),2.3333333333333335)</f>
        <v>2.333333333</v>
      </c>
      <c r="Z122" s="266">
        <f>IFERROR(__xludf.DUMMYFUNCTION("""COMPUTED_VALUE"""),1.247219128924647)</f>
        <v>1.247219129</v>
      </c>
      <c r="AA122" s="266">
        <f>IFERROR(__xludf.DUMMYFUNCTION("""COMPUTED_VALUE"""),2.6)</f>
        <v>2.6</v>
      </c>
      <c r="AB122" s="265" t="str">
        <f>IFERROR(__xludf.DUMMYFUNCTION("""COMPUTED_VALUE"""),"Forevermine")</f>
        <v>Forevermine</v>
      </c>
      <c r="AC122" s="265" t="str">
        <f>IFERROR(__xludf.DUMMYFUNCTION("""COMPUTED_VALUE"""),"Harrison Borts")</f>
        <v>Harrison Borts</v>
      </c>
      <c r="AD122" s="299">
        <f t="shared" si="39"/>
        <v>6.67</v>
      </c>
    </row>
    <row r="123">
      <c r="A123" s="268" t="s">
        <v>385</v>
      </c>
      <c r="B123" s="269"/>
      <c r="C123" s="270"/>
      <c r="D123" s="271"/>
      <c r="E123" s="272"/>
      <c r="F123" s="273"/>
      <c r="G123" s="274"/>
      <c r="H123" s="275"/>
      <c r="I123" s="182" t="str">
        <f t="shared" ref="I123:I124" si="43">K127</f>
        <v>TBD</v>
      </c>
      <c r="J123" s="38">
        <f t="shared" si="40"/>
        <v>0</v>
      </c>
      <c r="K123" s="38" t="str">
        <f t="shared" si="41"/>
        <v>TBD</v>
      </c>
      <c r="L123" s="38">
        <f t="shared" si="42"/>
        <v>0</v>
      </c>
      <c r="M123" s="182" t="str">
        <f>K126</f>
        <v>TBD</v>
      </c>
      <c r="N123" s="275"/>
      <c r="O123" s="274"/>
      <c r="P123" s="273"/>
      <c r="Q123" s="272"/>
      <c r="R123" s="271"/>
      <c r="S123" s="270"/>
      <c r="T123" s="269"/>
      <c r="V123" s="298">
        <f t="shared" si="38"/>
        <v>8</v>
      </c>
      <c r="W123" s="264">
        <f>IFERROR(__xludf.DUMMYFUNCTION("""COMPUTED_VALUE"""),46241.0)</f>
        <v>46241</v>
      </c>
      <c r="X123" s="265" t="str">
        <f>IFERROR(__xludf.DUMMYFUNCTION("""COMPUTED_VALUE"""),"Parker")</f>
        <v>Parker</v>
      </c>
      <c r="Y123" s="266">
        <f>IFERROR(__xludf.DUMMYFUNCTION("""COMPUTED_VALUE"""),2.3333333333333335)</f>
        <v>2.333333333</v>
      </c>
      <c r="Z123" s="266">
        <f>IFERROR(__xludf.DUMMYFUNCTION("""COMPUTED_VALUE"""),1.5986105077709065)</f>
        <v>1.598610508</v>
      </c>
      <c r="AA123" s="266">
        <f>IFERROR(__xludf.DUMMYFUNCTION("""COMPUTED_VALUE"""),2.6)</f>
        <v>2.6</v>
      </c>
      <c r="AB123" s="265" t="str">
        <f>IFERROR(__xludf.DUMMYFUNCTION("""COMPUTED_VALUE"""),"Agora Hills")</f>
        <v>Agora Hills</v>
      </c>
      <c r="AC123" s="265" t="str">
        <f>IFERROR(__xludf.DUMMYFUNCTION("""COMPUTED_VALUE"""),"Doja Cat")</f>
        <v>Doja Cat</v>
      </c>
      <c r="AD123" s="299">
        <f t="shared" si="39"/>
        <v>6.62</v>
      </c>
    </row>
    <row r="124">
      <c r="A124" s="268" t="s">
        <v>389</v>
      </c>
      <c r="B124" s="269"/>
      <c r="C124" s="270"/>
      <c r="D124" s="271"/>
      <c r="E124" s="272"/>
      <c r="F124" s="273"/>
      <c r="G124" s="274"/>
      <c r="H124" s="275"/>
      <c r="I124" s="182" t="str">
        <f t="shared" si="43"/>
        <v>TBD</v>
      </c>
      <c r="J124" s="38">
        <f t="shared" si="40"/>
        <v>0</v>
      </c>
      <c r="K124" s="38" t="str">
        <f t="shared" si="41"/>
        <v>TBD</v>
      </c>
      <c r="L124" s="38">
        <f t="shared" si="42"/>
        <v>0</v>
      </c>
      <c r="M124" s="182" t="str">
        <f>K125</f>
        <v>TBD</v>
      </c>
      <c r="N124" s="275"/>
      <c r="O124" s="274"/>
      <c r="P124" s="273"/>
      <c r="Q124" s="272"/>
      <c r="R124" s="271"/>
      <c r="S124" s="270"/>
      <c r="T124" s="269"/>
      <c r="V124" s="298">
        <f t="shared" si="38"/>
        <v>3</v>
      </c>
      <c r="W124" s="264">
        <f>IFERROR(__xludf.DUMMYFUNCTION("""COMPUTED_VALUE"""),46244.0)</f>
        <v>46244</v>
      </c>
      <c r="X124" s="265" t="str">
        <f>IFERROR(__xludf.DUMMYFUNCTION("""COMPUTED_VALUE"""),"Parker")</f>
        <v>Parker</v>
      </c>
      <c r="Y124" s="266">
        <f>IFERROR(__xludf.DUMMYFUNCTION("""COMPUTED_VALUE"""),1.6666666666666667)</f>
        <v>1.666666667</v>
      </c>
      <c r="Z124" s="266">
        <f>IFERROR(__xludf.DUMMYFUNCTION("""COMPUTED_VALUE"""),1.1055415967851332)</f>
        <v>1.105541597</v>
      </c>
      <c r="AA124" s="266">
        <f>IFERROR(__xludf.DUMMYFUNCTION("""COMPUTED_VALUE"""),1.8)</f>
        <v>1.8</v>
      </c>
      <c r="AB124" s="265" t="str">
        <f>IFERROR(__xludf.DUMMYFUNCTION("""COMPUTED_VALUE"""),"The Core")</f>
        <v>The Core</v>
      </c>
      <c r="AC124" s="265" t="str">
        <f>IFERROR(__xludf.DUMMYFUNCTION("""COMPUTED_VALUE"""),"Babamars")</f>
        <v>Babamars</v>
      </c>
      <c r="AD124" s="299">
        <f t="shared" si="39"/>
        <v>12.08</v>
      </c>
    </row>
    <row r="125">
      <c r="A125" s="39" t="s">
        <v>390</v>
      </c>
      <c r="B125" s="269"/>
      <c r="C125" s="270"/>
      <c r="D125" s="283"/>
      <c r="E125" s="272"/>
      <c r="F125" s="273"/>
      <c r="G125" s="284"/>
      <c r="H125" s="275"/>
      <c r="I125" s="389" t="str">
        <f>K133</f>
        <v>TBD</v>
      </c>
      <c r="J125" s="38">
        <f t="shared" si="40"/>
        <v>0</v>
      </c>
      <c r="K125" s="38" t="str">
        <f t="shared" si="41"/>
        <v>TBD</v>
      </c>
      <c r="L125" s="38">
        <f t="shared" si="42"/>
        <v>0</v>
      </c>
      <c r="M125" s="182" t="str">
        <f>K132</f>
        <v>TBD</v>
      </c>
      <c r="N125" s="275"/>
      <c r="O125" s="274"/>
      <c r="P125" s="273"/>
      <c r="Q125" s="278"/>
      <c r="R125" s="271"/>
      <c r="S125" s="270"/>
      <c r="T125" s="269"/>
      <c r="V125" s="298">
        <f t="shared" si="38"/>
        <v>2</v>
      </c>
      <c r="W125" s="264">
        <f>IFERROR(__xludf.DUMMYFUNCTION("""COMPUTED_VALUE"""),46246.0)</f>
        <v>46246</v>
      </c>
      <c r="X125" s="265" t="str">
        <f>IFERROR(__xludf.DUMMYFUNCTION("""COMPUTED_VALUE"""),"Giacomo")</f>
        <v>Giacomo</v>
      </c>
      <c r="Y125" s="266">
        <f>IFERROR(__xludf.DUMMYFUNCTION("""COMPUTED_VALUE"""),1.6666666666666667)</f>
        <v>1.666666667</v>
      </c>
      <c r="Z125" s="266">
        <f>IFERROR(__xludf.DUMMYFUNCTION("""COMPUTED_VALUE"""),1.1055415967851332)</f>
        <v>1.105541597</v>
      </c>
      <c r="AA125" s="266">
        <f>IFERROR(__xludf.DUMMYFUNCTION("""COMPUTED_VALUE"""),1.6)</f>
        <v>1.6</v>
      </c>
      <c r="AB125" s="265" t="str">
        <f>IFERROR(__xludf.DUMMYFUNCTION("""COMPUTED_VALUE"""),"Mr. Train Conductor")</f>
        <v>Mr. Train Conductor</v>
      </c>
      <c r="AC125" s="265" t="str">
        <f>IFERROR(__xludf.DUMMYFUNCTION("""COMPUTED_VALUE"""),"Jalen Ngonda")</f>
        <v>Jalen Ngonda</v>
      </c>
      <c r="AD125" s="299">
        <f t="shared" si="39"/>
        <v>12.28</v>
      </c>
    </row>
    <row r="126">
      <c r="A126" s="39" t="s">
        <v>393</v>
      </c>
      <c r="B126" s="269"/>
      <c r="C126" s="270"/>
      <c r="D126" s="271"/>
      <c r="E126" s="272"/>
      <c r="F126" s="273"/>
      <c r="G126" s="274"/>
      <c r="H126" s="275"/>
      <c r="I126" s="348" t="str">
        <f>IFERROR(__xludf.DUMMYFUNCTION("FILTER(AB$121:AB$133, V$121:V$133=INT(MID(A126,6,1)))"),"The Core")</f>
        <v>The Core</v>
      </c>
      <c r="J126" s="38">
        <f t="shared" si="40"/>
        <v>0</v>
      </c>
      <c r="K126" s="38" t="str">
        <f t="shared" si="41"/>
        <v>TBD</v>
      </c>
      <c r="L126" s="38">
        <f t="shared" si="42"/>
        <v>0</v>
      </c>
      <c r="M126" s="182" t="str">
        <f>K131</f>
        <v>TBD</v>
      </c>
      <c r="N126" s="275"/>
      <c r="O126" s="274"/>
      <c r="P126" s="273"/>
      <c r="Q126" s="272"/>
      <c r="R126" s="271"/>
      <c r="S126" s="270"/>
      <c r="T126" s="269"/>
      <c r="V126" s="298">
        <f t="shared" si="38"/>
        <v>9</v>
      </c>
      <c r="W126" s="264">
        <f>IFERROR(__xludf.DUMMYFUNCTION("""COMPUTED_VALUE"""),46248.0)</f>
        <v>46248</v>
      </c>
      <c r="X126" s="265" t="str">
        <f>IFERROR(__xludf.DUMMYFUNCTION("""COMPUTED_VALUE"""),"Logan")</f>
        <v>Logan</v>
      </c>
      <c r="Y126" s="266">
        <f>IFERROR(__xludf.DUMMYFUNCTION("""COMPUTED_VALUE"""),2.5)</f>
        <v>2.5</v>
      </c>
      <c r="Z126" s="266">
        <f>IFERROR(__xludf.DUMMYFUNCTION("""COMPUTED_VALUE"""),0.9574271077563381)</f>
        <v>0.9574271078</v>
      </c>
      <c r="AA126" s="266">
        <f>IFERROR(__xludf.DUMMYFUNCTION("""COMPUTED_VALUE"""),2.8)</f>
        <v>2.8</v>
      </c>
      <c r="AB126" s="265" t="str">
        <f>IFERROR(__xludf.DUMMYFUNCTION("""COMPUTED_VALUE"""),"So Good")</f>
        <v>So Good</v>
      </c>
      <c r="AC126" s="265" t="str">
        <f>IFERROR(__xludf.DUMMYFUNCTION("""COMPUTED_VALUE"""),"Weston Estate")</f>
        <v>Weston Estate</v>
      </c>
      <c r="AD126" s="299">
        <f t="shared" si="39"/>
        <v>3.4</v>
      </c>
    </row>
    <row r="127">
      <c r="A127" s="39" t="s">
        <v>394</v>
      </c>
      <c r="B127" s="269"/>
      <c r="C127" s="270"/>
      <c r="D127" s="271"/>
      <c r="E127" s="272"/>
      <c r="F127" s="273"/>
      <c r="G127" s="274"/>
      <c r="H127" s="275"/>
      <c r="I127" s="349" t="str">
        <f>IFERROR(__xludf.DUMMYFUNCTION("FILTER(AB$121:AB$133, V$121:V$133=INT(MID(A127,6,1)))"),"Mr. Train Conductor")</f>
        <v>Mr. Train Conductor</v>
      </c>
      <c r="J127" s="38">
        <f t="shared" si="40"/>
        <v>0</v>
      </c>
      <c r="K127" s="38" t="str">
        <f t="shared" si="41"/>
        <v>TBD</v>
      </c>
      <c r="L127" s="38">
        <f t="shared" si="42"/>
        <v>0</v>
      </c>
      <c r="M127" s="182" t="str">
        <f>K130</f>
        <v>TBD</v>
      </c>
      <c r="N127" s="275"/>
      <c r="O127" s="284"/>
      <c r="P127" s="273"/>
      <c r="Q127" s="272"/>
      <c r="R127" s="271"/>
      <c r="S127" s="270"/>
      <c r="T127" s="269"/>
      <c r="V127" s="298">
        <f t="shared" si="38"/>
        <v>5</v>
      </c>
      <c r="W127" s="264">
        <f>IFERROR(__xludf.DUMMYFUNCTION("""COMPUTED_VALUE"""),46251.0)</f>
        <v>46251</v>
      </c>
      <c r="X127" s="265" t="str">
        <f>IFERROR(__xludf.DUMMYFUNCTION("""COMPUTED_VALUE"""),"Giacomo")</f>
        <v>Giacomo</v>
      </c>
      <c r="Y127" s="266">
        <f>IFERROR(__xludf.DUMMYFUNCTION("""COMPUTED_VALUE"""),2.1666666666666665)</f>
        <v>2.166666667</v>
      </c>
      <c r="Z127" s="266">
        <f>IFERROR(__xludf.DUMMYFUNCTION("""COMPUTED_VALUE"""),1.7716909687891083)</f>
        <v>1.771690969</v>
      </c>
      <c r="AA127" s="266">
        <f>IFERROR(__xludf.DUMMYFUNCTION("""COMPUTED_VALUE"""),2.4)</f>
        <v>2.4</v>
      </c>
      <c r="AB127" s="265" t="str">
        <f>IFERROR(__xludf.DUMMYFUNCTION("""COMPUTED_VALUE"""),"only the best")</f>
        <v>only the best</v>
      </c>
      <c r="AC127" s="265" t="str">
        <f>IFERROR(__xludf.DUMMYFUNCTION("""COMPUTED_VALUE"""),"horsegiirL")</f>
        <v>horsegiirL</v>
      </c>
      <c r="AD127" s="299">
        <f t="shared" si="39"/>
        <v>9.91</v>
      </c>
    </row>
    <row r="128">
      <c r="A128" s="39" t="s">
        <v>398</v>
      </c>
      <c r="B128" s="269"/>
      <c r="C128" s="270"/>
      <c r="D128" s="271"/>
      <c r="E128" s="272"/>
      <c r="F128" s="273"/>
      <c r="G128" s="274"/>
      <c r="H128" s="275"/>
      <c r="I128" s="349" t="str">
        <f>IFERROR(__xludf.DUMMYFUNCTION("FILTER(AB$121:AB$133, V$121:V$133=INT(MID(A128,6,1)))"),"The Way I Love You - Acoustic")</f>
        <v>The Way I Love You - Acoustic</v>
      </c>
      <c r="J128" s="38">
        <f t="shared" si="40"/>
        <v>0</v>
      </c>
      <c r="K128" s="38" t="str">
        <f t="shared" si="41"/>
        <v>TBD</v>
      </c>
      <c r="L128" s="38">
        <f t="shared" si="42"/>
        <v>0</v>
      </c>
      <c r="M128" s="182" t="str">
        <f>K129</f>
        <v>TBD</v>
      </c>
      <c r="N128" s="275"/>
      <c r="O128" s="274"/>
      <c r="P128" s="273"/>
      <c r="Q128" s="278"/>
      <c r="R128" s="271"/>
      <c r="S128" s="270"/>
      <c r="T128" s="269"/>
      <c r="V128" s="298">
        <f t="shared" si="38"/>
        <v>9</v>
      </c>
      <c r="W128" s="264">
        <f>IFERROR(__xludf.DUMMYFUNCTION("""COMPUTED_VALUE"""),46253.0)</f>
        <v>46253</v>
      </c>
      <c r="X128" s="265" t="str">
        <f>IFERROR(__xludf.DUMMYFUNCTION("""COMPUTED_VALUE"""),"TTAC")</f>
        <v>TTAC</v>
      </c>
      <c r="Y128" s="266">
        <f>IFERROR(__xludf.DUMMYFUNCTION("""COMPUTED_VALUE"""),2.5)</f>
        <v>2.5</v>
      </c>
      <c r="Z128" s="266">
        <f>IFERROR(__xludf.DUMMYFUNCTION("""COMPUTED_VALUE"""),0.9574271077563381)</f>
        <v>0.9574271078</v>
      </c>
      <c r="AA128" s="266">
        <f>IFERROR(__xludf.DUMMYFUNCTION("""COMPUTED_VALUE"""),2.8)</f>
        <v>2.8</v>
      </c>
      <c r="AB128" s="265" t="str">
        <f>IFERROR(__xludf.DUMMYFUNCTION("""COMPUTED_VALUE"""),"She Calls Me Back")</f>
        <v>She Calls Me Back</v>
      </c>
      <c r="AC128" s="265" t="str">
        <f>IFERROR(__xludf.DUMMYFUNCTION("""COMPUTED_VALUE"""),"Noah Kahan, Kacey Musgraves")</f>
        <v>Noah Kahan, Kacey Musgraves</v>
      </c>
      <c r="AD128" s="299">
        <f t="shared" si="39"/>
        <v>3.4</v>
      </c>
    </row>
    <row r="129">
      <c r="A129" s="289" t="s">
        <v>400</v>
      </c>
      <c r="B129" s="269"/>
      <c r="C129" s="270"/>
      <c r="D129" s="271"/>
      <c r="E129" s="272"/>
      <c r="F129" s="273"/>
      <c r="G129" s="274"/>
      <c r="H129" s="275"/>
      <c r="I129" s="348" t="str">
        <f>IFERROR(__xludf.DUMMYFUNCTION("FILTER(AB$121:AB$133, V$121:V$133=INT(MID(A129,6,1)))"),"Agora Hills")</f>
        <v>Agora Hills</v>
      </c>
      <c r="J129" s="38">
        <f t="shared" si="40"/>
        <v>0</v>
      </c>
      <c r="K129" s="38" t="str">
        <f t="shared" si="41"/>
        <v>TBD</v>
      </c>
      <c r="L129" s="38">
        <f t="shared" si="42"/>
        <v>0</v>
      </c>
      <c r="M129" s="182" t="str">
        <f>IFERROR(__xludf.DUMMYFUNCTION("FILTER(AB$121:AB$133, V$121:V$133=INT(RIGHT(A129,1)))"),"#REF!")</f>
        <v>#REF!</v>
      </c>
      <c r="N129" s="275"/>
      <c r="O129" s="274"/>
      <c r="P129" s="273"/>
      <c r="Q129" s="272"/>
      <c r="R129" s="271"/>
      <c r="S129" s="270"/>
      <c r="T129" s="269"/>
      <c r="V129" s="298">
        <f t="shared" si="38"/>
        <v>7</v>
      </c>
      <c r="W129" s="264">
        <f>IFERROR(__xludf.DUMMYFUNCTION("""COMPUTED_VALUE"""),46255.0)</f>
        <v>46255</v>
      </c>
      <c r="X129" s="265" t="str">
        <f>IFERROR(__xludf.DUMMYFUNCTION("""COMPUTED_VALUE"""),"Parker")</f>
        <v>Parker</v>
      </c>
      <c r="Y129" s="266">
        <f>IFERROR(__xludf.DUMMYFUNCTION("""COMPUTED_VALUE"""),2.3333333333333335)</f>
        <v>2.333333333</v>
      </c>
      <c r="Z129" s="266">
        <f>IFERROR(__xludf.DUMMYFUNCTION("""COMPUTED_VALUE"""),1.4907119849998596)</f>
        <v>1.490711985</v>
      </c>
      <c r="AA129" s="266">
        <f>IFERROR(__xludf.DUMMYFUNCTION("""COMPUTED_VALUE"""),2.6)</f>
        <v>2.6</v>
      </c>
      <c r="AB129" s="265" t="str">
        <f>IFERROR(__xludf.DUMMYFUNCTION("""COMPUTED_VALUE"""),"Re:Re:")</f>
        <v>Re:Re:</v>
      </c>
      <c r="AC129" s="265" t="str">
        <f>IFERROR(__xludf.DUMMYFUNCTION("""COMPUTED_VALUE"""),"ASIAN KUNG-FU GENERATION")</f>
        <v>ASIAN KUNG-FU GENERATION</v>
      </c>
      <c r="AD129" s="299">
        <f t="shared" si="39"/>
        <v>6.63</v>
      </c>
    </row>
    <row r="130">
      <c r="A130" s="289" t="s">
        <v>403</v>
      </c>
      <c r="B130" s="269"/>
      <c r="C130" s="270"/>
      <c r="D130" s="271"/>
      <c r="E130" s="272"/>
      <c r="F130" s="273"/>
      <c r="G130" s="274"/>
      <c r="H130" s="275"/>
      <c r="I130" s="348" t="str">
        <f>IFERROR(__xludf.DUMMYFUNCTION("FILTER(AB$121:AB$133, V$121:V$133=INT(MID(A130,6,1)))"),"Re:Re:")</f>
        <v>Re:Re:</v>
      </c>
      <c r="J130" s="38">
        <f t="shared" si="40"/>
        <v>0</v>
      </c>
      <c r="K130" s="38" t="str">
        <f t="shared" si="41"/>
        <v>TBD</v>
      </c>
      <c r="L130" s="38">
        <f t="shared" si="42"/>
        <v>0</v>
      </c>
      <c r="M130" s="182" t="str">
        <f>IFERROR(__xludf.DUMMYFUNCTION("FILTER(AB$121:AB$133, V$121:V$133=INT(RIGHT(A130,2)))"),"#N/A")</f>
        <v>#N/A</v>
      </c>
      <c r="N130" s="275"/>
      <c r="O130" s="274"/>
      <c r="P130" s="273"/>
      <c r="Q130" s="272"/>
      <c r="R130" s="271"/>
      <c r="S130" s="270"/>
      <c r="T130" s="269"/>
      <c r="V130" s="298">
        <f t="shared" si="38"/>
        <v>4</v>
      </c>
      <c r="W130" s="264">
        <f>IFERROR(__xludf.DUMMYFUNCTION("""COMPUTED_VALUE"""),46258.0)</f>
        <v>46258</v>
      </c>
      <c r="X130" s="265" t="str">
        <f>IFERROR(__xludf.DUMMYFUNCTION("""COMPUTED_VALUE"""),"Logan")</f>
        <v>Logan</v>
      </c>
      <c r="Y130" s="266">
        <f>IFERROR(__xludf.DUMMYFUNCTION("""COMPUTED_VALUE"""),1.8333333333333333)</f>
        <v>1.833333333</v>
      </c>
      <c r="Z130" s="266">
        <f>IFERROR(__xludf.DUMMYFUNCTION("""COMPUTED_VALUE"""),0.37267799624996495)</f>
        <v>0.3726779962</v>
      </c>
      <c r="AA130" s="266">
        <f>IFERROR(__xludf.DUMMYFUNCTION("""COMPUTED_VALUE"""),1.8)</f>
        <v>1.8</v>
      </c>
      <c r="AB130" s="265" t="str">
        <f>IFERROR(__xludf.DUMMYFUNCTION("""COMPUTED_VALUE"""),"ARE YOU WITH THAT?")</f>
        <v>ARE YOU WITH THAT?</v>
      </c>
      <c r="AC130" s="265" t="str">
        <f>IFERROR(__xludf.DUMMYFUNCTION("""COMPUTED_VALUE"""),"Vince Staples")</f>
        <v>Vince Staples</v>
      </c>
      <c r="AD130" s="299">
        <f t="shared" si="39"/>
        <v>11.13</v>
      </c>
    </row>
    <row r="131">
      <c r="A131" s="289" t="s">
        <v>409</v>
      </c>
      <c r="B131" s="269"/>
      <c r="C131" s="270"/>
      <c r="D131" s="271"/>
      <c r="E131" s="272"/>
      <c r="F131" s="273" t="s">
        <v>382</v>
      </c>
      <c r="G131" s="274"/>
      <c r="H131" s="275"/>
      <c r="I131" s="355" t="str">
        <f>IFERROR(__xludf.DUMMYFUNCTION("FILTER(AB$121:AB$133, V$121:V$133=INT(MID(A131,6,1)))"),"Forevermine")</f>
        <v>Forevermine</v>
      </c>
      <c r="J131" s="38">
        <f t="shared" si="40"/>
        <v>1</v>
      </c>
      <c r="K131" s="38" t="str">
        <f t="shared" si="41"/>
        <v>TBD</v>
      </c>
      <c r="L131" s="38">
        <f t="shared" si="42"/>
        <v>1</v>
      </c>
      <c r="M131" s="355" t="str">
        <f>IFERROR(__xludf.DUMMYFUNCTION("FILTER(AB$121:AB$133, V$121:V$133=INT(RIGHT(A131,2)))"),"Apple Pie")</f>
        <v>Apple Pie</v>
      </c>
      <c r="N131" s="275"/>
      <c r="O131" s="274"/>
      <c r="P131" s="273"/>
      <c r="Q131" s="272"/>
      <c r="R131" s="271" t="s">
        <v>381</v>
      </c>
      <c r="S131" s="270"/>
      <c r="T131" s="269"/>
      <c r="V131" s="298">
        <f t="shared" si="38"/>
        <v>11</v>
      </c>
      <c r="W131" s="264">
        <f>IFERROR(__xludf.DUMMYFUNCTION("""COMPUTED_VALUE"""),46260.0)</f>
        <v>46260</v>
      </c>
      <c r="X131" s="265" t="str">
        <f>IFERROR(__xludf.DUMMYFUNCTION("""COMPUTED_VALUE"""),"Weston")</f>
        <v>Weston</v>
      </c>
      <c r="Y131" s="266">
        <f>IFERROR(__xludf.DUMMYFUNCTION("""COMPUTED_VALUE"""),2.5)</f>
        <v>2.5</v>
      </c>
      <c r="Z131" s="266">
        <f>IFERROR(__xludf.DUMMYFUNCTION("""COMPUTED_VALUE"""),1.2583057392117916)</f>
        <v>1.258305739</v>
      </c>
      <c r="AA131" s="266">
        <f>IFERROR(__xludf.DUMMYFUNCTION("""COMPUTED_VALUE"""),2.8)</f>
        <v>2.8</v>
      </c>
      <c r="AB131" s="265" t="str">
        <f>IFERROR(__xludf.DUMMYFUNCTION("""COMPUTED_VALUE"""),"Apple Pie")</f>
        <v>Apple Pie</v>
      </c>
      <c r="AC131" s="265" t="str">
        <f>IFERROR(__xludf.DUMMYFUNCTION("""COMPUTED_VALUE"""),"Travis Scott")</f>
        <v>Travis Scott</v>
      </c>
      <c r="AD131" s="299">
        <f t="shared" si="39"/>
        <v>3.36</v>
      </c>
    </row>
    <row r="132">
      <c r="A132" s="289" t="s">
        <v>413</v>
      </c>
      <c r="B132" s="310"/>
      <c r="C132" s="311"/>
      <c r="D132" s="312" t="s">
        <v>381</v>
      </c>
      <c r="E132" s="313"/>
      <c r="F132" s="314"/>
      <c r="G132" s="315"/>
      <c r="H132" s="316"/>
      <c r="I132" s="349" t="str">
        <f>IFERROR(__xludf.DUMMYFUNCTION("FILTER(AB$121:AB$133, V$121:V$133=INT(MID(A132,6,1)))"),"only the best")</f>
        <v>only the best</v>
      </c>
      <c r="J132" s="318">
        <f t="shared" si="40"/>
        <v>1</v>
      </c>
      <c r="K132" s="318" t="str">
        <f t="shared" si="41"/>
        <v>TBD</v>
      </c>
      <c r="L132" s="318">
        <f t="shared" si="42"/>
        <v>1</v>
      </c>
      <c r="M132" s="354" t="str">
        <f>IFERROR(__xludf.DUMMYFUNCTION("FILTER(AB$121:AB$133, V$121:V$133=INT(RIGHT(A132,2)))"),"Calling After Me")</f>
        <v>Calling After Me</v>
      </c>
      <c r="N132" s="316"/>
      <c r="O132" s="315"/>
      <c r="P132" s="314" t="s">
        <v>382</v>
      </c>
      <c r="Q132" s="313"/>
      <c r="R132" s="312"/>
      <c r="S132" s="311"/>
      <c r="T132" s="310"/>
      <c r="V132" s="298">
        <f t="shared" si="38"/>
        <v>13</v>
      </c>
      <c r="W132" s="264">
        <f>IFERROR(__xludf.DUMMYFUNCTION("""COMPUTED_VALUE"""),46262.0)</f>
        <v>46262</v>
      </c>
      <c r="X132" s="265" t="str">
        <f>IFERROR(__xludf.DUMMYFUNCTION("""COMPUTED_VALUE"""),"Logan")</f>
        <v>Logan</v>
      </c>
      <c r="Y132" s="266">
        <f>IFERROR(__xludf.DUMMYFUNCTION("""COMPUTED_VALUE"""),3.0)</f>
        <v>3</v>
      </c>
      <c r="Z132" s="266">
        <f>IFERROR(__xludf.DUMMYFUNCTION("""COMPUTED_VALUE"""),1.2649110640673518)</f>
        <v>1.264911064</v>
      </c>
      <c r="AA132" s="266">
        <f>IFERROR(__xludf.DUMMYFUNCTION("""COMPUTED_VALUE"""),3.25)</f>
        <v>3.25</v>
      </c>
      <c r="AB132" s="265" t="str">
        <f>IFERROR(__xludf.DUMMYFUNCTION("""COMPUTED_VALUE"""),"Heartpiece")</f>
        <v>Heartpiece</v>
      </c>
      <c r="AC132" s="265" t="str">
        <f>IFERROR(__xludf.DUMMYFUNCTION("""COMPUTED_VALUE"""),"helloworld")</f>
        <v>helloworld</v>
      </c>
      <c r="AD132" s="299">
        <f t="shared" si="39"/>
        <v>1.15</v>
      </c>
    </row>
    <row r="133">
      <c r="A133" s="324" t="s">
        <v>418</v>
      </c>
      <c r="B133" s="310"/>
      <c r="C133" s="311"/>
      <c r="D133" s="312" t="s">
        <v>381</v>
      </c>
      <c r="E133" s="313"/>
      <c r="F133" s="314" t="s">
        <v>382</v>
      </c>
      <c r="G133" s="315"/>
      <c r="H133" s="316"/>
      <c r="I133" s="378" t="str">
        <f>IFERROR(__xludf.DUMMYFUNCTION("FILTER(AB$121:AB$133, V$121:V$133=INT(MID(A133,6,1)))"),"ARE YOU WITH THAT?")</f>
        <v>ARE YOU WITH THAT?</v>
      </c>
      <c r="J133" s="318">
        <f t="shared" si="40"/>
        <v>2</v>
      </c>
      <c r="K133" s="318" t="str">
        <f t="shared" si="41"/>
        <v>TBD</v>
      </c>
      <c r="L133" s="318">
        <f t="shared" si="42"/>
        <v>0</v>
      </c>
      <c r="M133" s="378" t="str">
        <f>IFERROR(__xludf.DUMMYFUNCTION("FILTER(AB$121:AB$133, V$121:V$133=INT(RIGHT(A133,2)))"),"Heartpiece")</f>
        <v>Heartpiece</v>
      </c>
      <c r="N133" s="316"/>
      <c r="O133" s="315"/>
      <c r="P133" s="322"/>
      <c r="Q133" s="313"/>
      <c r="R133" s="312"/>
      <c r="S133" s="311"/>
      <c r="T133" s="310"/>
      <c r="V133" s="298">
        <f t="shared" si="38"/>
        <v>1</v>
      </c>
      <c r="W133" s="264">
        <f>IFERROR(__xludf.DUMMYFUNCTION("""COMPUTED_VALUE"""),46265.0)</f>
        <v>46265</v>
      </c>
      <c r="X133" s="265" t="str">
        <f>IFERROR(__xludf.DUMMYFUNCTION("""COMPUTED_VALUE"""),"Giacomo")</f>
        <v>Giacomo</v>
      </c>
      <c r="Y133" s="266">
        <f>IFERROR(__xludf.DUMMYFUNCTION("""COMPUTED_VALUE"""),1.4)</f>
        <v>1.4</v>
      </c>
      <c r="Z133" s="266">
        <f>IFERROR(__xludf.DUMMYFUNCTION("""COMPUTED_VALUE"""),0.4898979485566356)</f>
        <v>0.4898979486</v>
      </c>
      <c r="AA133" s="266">
        <f>IFERROR(__xludf.DUMMYFUNCTION("""COMPUTED_VALUE"""),1.25)</f>
        <v>1.25</v>
      </c>
      <c r="AB133" s="265" t="str">
        <f>IFERROR(__xludf.DUMMYFUNCTION("""COMPUTED_VALUE"""),"The Way I Love You - Acoustic")</f>
        <v>The Way I Love You - Acoustic</v>
      </c>
      <c r="AC133" s="265" t="str">
        <f>IFERROR(__xludf.DUMMYFUNCTION("""COMPUTED_VALUE"""),"Jorja Smith")</f>
        <v>Jorja Smith</v>
      </c>
      <c r="AD133" s="299">
        <f t="shared" si="39"/>
        <v>14.42</v>
      </c>
    </row>
    <row r="134">
      <c r="A134" s="324"/>
      <c r="B134" s="324"/>
      <c r="C134" s="324"/>
      <c r="D134" s="324"/>
      <c r="E134" s="324"/>
      <c r="F134" s="324"/>
      <c r="G134" s="324"/>
      <c r="H134" s="324"/>
      <c r="I134" s="390"/>
      <c r="J134" s="326"/>
      <c r="K134" s="326"/>
      <c r="L134" s="326"/>
      <c r="M134" s="390"/>
      <c r="N134" s="324"/>
      <c r="O134" s="324"/>
      <c r="P134" s="327"/>
      <c r="Q134" s="324"/>
      <c r="R134" s="324"/>
      <c r="S134" s="324"/>
      <c r="T134" s="324"/>
    </row>
    <row r="135">
      <c r="I135" s="234"/>
      <c r="J135" s="234"/>
      <c r="K135" s="234"/>
      <c r="L135" s="234"/>
      <c r="M135" s="234"/>
    </row>
    <row r="136">
      <c r="I136" s="234"/>
      <c r="J136" s="234"/>
      <c r="K136" s="234"/>
      <c r="L136" s="234"/>
      <c r="M136" s="234"/>
    </row>
    <row r="137">
      <c r="A137" s="29" t="s">
        <v>408</v>
      </c>
      <c r="V137" s="262" t="s">
        <v>367</v>
      </c>
      <c r="W137" s="262" t="s">
        <v>19</v>
      </c>
      <c r="X137" s="262" t="s">
        <v>16</v>
      </c>
      <c r="Y137" s="262" t="s">
        <v>75</v>
      </c>
      <c r="Z137" s="262" t="s">
        <v>76</v>
      </c>
      <c r="AA137" s="262" t="s">
        <v>78</v>
      </c>
      <c r="AB137" s="262" t="s">
        <v>368</v>
      </c>
      <c r="AC137" s="262" t="s">
        <v>82</v>
      </c>
      <c r="AD137" s="262" t="s">
        <v>88</v>
      </c>
    </row>
    <row r="138">
      <c r="A138" s="262" t="s">
        <v>369</v>
      </c>
      <c r="B138" s="262" t="s">
        <v>370</v>
      </c>
      <c r="C138" s="262" t="s">
        <v>371</v>
      </c>
      <c r="D138" s="262" t="s">
        <v>372</v>
      </c>
      <c r="E138" s="262" t="s">
        <v>373</v>
      </c>
      <c r="F138" s="262" t="s">
        <v>374</v>
      </c>
      <c r="G138" s="262" t="s">
        <v>51</v>
      </c>
      <c r="H138" s="29" t="s">
        <v>375</v>
      </c>
      <c r="I138" s="29" t="s">
        <v>376</v>
      </c>
      <c r="J138" s="29" t="s">
        <v>377</v>
      </c>
      <c r="K138" s="29" t="s">
        <v>21</v>
      </c>
      <c r="L138" s="29" t="s">
        <v>378</v>
      </c>
      <c r="M138" s="29" t="s">
        <v>379</v>
      </c>
      <c r="N138" s="29" t="s">
        <v>375</v>
      </c>
      <c r="O138" s="262" t="s">
        <v>51</v>
      </c>
      <c r="P138" s="262" t="s">
        <v>374</v>
      </c>
      <c r="Q138" s="262" t="s">
        <v>373</v>
      </c>
      <c r="R138" s="262" t="s">
        <v>372</v>
      </c>
      <c r="S138" s="262" t="s">
        <v>371</v>
      </c>
      <c r="T138" s="262" t="s">
        <v>370</v>
      </c>
      <c r="V138" s="298">
        <f t="shared" ref="V138:V143" si="44">RANK(AD138,AD$138:AD$143)</f>
        <v>3</v>
      </c>
      <c r="W138" s="295">
        <f>IFERROR(__xludf.DUMMYFUNCTION("FILTER(Rankings!D:J, Rankings!D:D &gt;= DATE(2026,9,1), Rankings!D:D &lt; DATE(2026,10,1), Rankings!U:U = TRUE)"),46267.0)</f>
        <v>46267</v>
      </c>
      <c r="X138" s="296" t="str">
        <f>IFERROR(__xludf.DUMMYFUNCTION("""COMPUTED_VALUE"""),"TTAC")</f>
        <v>TTAC</v>
      </c>
      <c r="Y138" s="297">
        <f>IFERROR(__xludf.DUMMYFUNCTION("""COMPUTED_VALUE"""),1.8)</f>
        <v>1.8</v>
      </c>
      <c r="Z138" s="297">
        <f>IFERROR(__xludf.DUMMYFUNCTION("""COMPUTED_VALUE"""),0.7483314773547882)</f>
        <v>0.7483314774</v>
      </c>
      <c r="AA138" s="297">
        <f>IFERROR(__xludf.DUMMYFUNCTION("""COMPUTED_VALUE"""),2.0)</f>
        <v>2</v>
      </c>
      <c r="AB138" s="296" t="str">
        <f>IFERROR(__xludf.DUMMYFUNCTION("""COMPUTED_VALUE"""),"Cotton")</f>
        <v>Cotton</v>
      </c>
      <c r="AC138" s="296" t="str">
        <f>IFERROR(__xludf.DUMMYFUNCTION("""COMPUTED_VALUE"""),"Vince Staples")</f>
        <v>Vince Staples</v>
      </c>
      <c r="AD138" s="299">
        <f t="shared" ref="AD138:AD143" si="45">IF(ISBLANK(W138), "", RANK(Y138, Y$138:Y$143) + RANK(AA138, AA$138:AA$143)/10 + RANK(Z138, Z$138:Z$143)/100)</f>
        <v>4.44</v>
      </c>
    </row>
    <row r="139">
      <c r="A139" s="268" t="s">
        <v>380</v>
      </c>
      <c r="B139" s="269"/>
      <c r="C139" s="270"/>
      <c r="D139" s="271"/>
      <c r="E139" s="343"/>
      <c r="F139" s="273"/>
      <c r="G139" s="274"/>
      <c r="H139" s="343"/>
      <c r="I139" s="182" t="str">
        <f>K141</f>
        <v>TBD</v>
      </c>
      <c r="J139" s="38">
        <f t="shared" ref="J139:J143" si="46">COUNTIF(B139:H139,"x")</f>
        <v>0</v>
      </c>
      <c r="K139" s="38" t="str">
        <f t="shared" ref="K139:K143" si="47">IF(J139&gt;=3,I139,IF(L139&gt;=3,M139,"TBD"))</f>
        <v>TBD</v>
      </c>
      <c r="L139" s="38">
        <f t="shared" ref="L139:L143" si="48">COUNTIF(N139:T139,"x")</f>
        <v>0</v>
      </c>
      <c r="M139" s="182" t="str">
        <f>K140</f>
        <v>TBD</v>
      </c>
      <c r="N139" s="343"/>
      <c r="O139" s="274"/>
      <c r="P139" s="273"/>
      <c r="Q139" s="343"/>
      <c r="R139" s="271"/>
      <c r="S139" s="270"/>
      <c r="T139" s="269"/>
      <c r="V139" s="298">
        <f t="shared" si="44"/>
        <v>6</v>
      </c>
      <c r="W139" s="264">
        <f>IFERROR(__xludf.DUMMYFUNCTION("""COMPUTED_VALUE"""),46269.0)</f>
        <v>46269</v>
      </c>
      <c r="X139" s="265" t="str">
        <f>IFERROR(__xludf.DUMMYFUNCTION("""COMPUTED_VALUE"""),"Parker")</f>
        <v>Parker</v>
      </c>
      <c r="Y139" s="266">
        <f>IFERROR(__xludf.DUMMYFUNCTION("""COMPUTED_VALUE"""),2.2)</f>
        <v>2.2</v>
      </c>
      <c r="Z139" s="266">
        <f>IFERROR(__xludf.DUMMYFUNCTION("""COMPUTED_VALUE"""),1.469693845669907)</f>
        <v>1.469693846</v>
      </c>
      <c r="AA139" s="266">
        <f>IFERROR(__xludf.DUMMYFUNCTION("""COMPUTED_VALUE"""),2.5)</f>
        <v>2.5</v>
      </c>
      <c r="AB139" s="265" t="str">
        <f>IFERROR(__xludf.DUMMYFUNCTION("""COMPUTED_VALUE"""),"No Angels (TLC &amp; the xx cover)")</f>
        <v>No Angels (TLC &amp; the xx cover)</v>
      </c>
      <c r="AC139" s="265" t="str">
        <f>IFERROR(__xludf.DUMMYFUNCTION("""COMPUTED_VALUE"""),"Bastille, Ella Eyre")</f>
        <v>Bastille, Ella Eyre</v>
      </c>
      <c r="AD139" s="299">
        <f t="shared" si="45"/>
        <v>1.11</v>
      </c>
    </row>
    <row r="140">
      <c r="A140" s="268" t="s">
        <v>385</v>
      </c>
      <c r="B140" s="269"/>
      <c r="C140" s="270"/>
      <c r="D140" s="271"/>
      <c r="E140" s="343"/>
      <c r="F140" s="273"/>
      <c r="G140" s="274"/>
      <c r="H140" s="343"/>
      <c r="I140" s="182" t="str">
        <f>IFERROR(__xludf.DUMMYFUNCTION("FILTER(AB$138:AB$143, V$138:V$143=INT(MID(A140,6,1)))"),"悲しみがとまらない - I CAN'T STOP THE LONELINESS")</f>
        <v>悲しみがとまらない - I CAN'T STOP THE LONELINESS</v>
      </c>
      <c r="J140" s="38">
        <f t="shared" si="46"/>
        <v>0</v>
      </c>
      <c r="K140" s="38" t="str">
        <f t="shared" si="47"/>
        <v>TBD</v>
      </c>
      <c r="L140" s="38">
        <f t="shared" si="48"/>
        <v>0</v>
      </c>
      <c r="M140" s="182" t="str">
        <f>K143</f>
        <v>TBD</v>
      </c>
      <c r="N140" s="343"/>
      <c r="O140" s="274"/>
      <c r="P140" s="273"/>
      <c r="Q140" s="343"/>
      <c r="R140" s="271"/>
      <c r="S140" s="270"/>
      <c r="T140" s="269"/>
      <c r="V140" s="298">
        <f t="shared" si="44"/>
        <v>5</v>
      </c>
      <c r="W140" s="264">
        <f>IFERROR(__xludf.DUMMYFUNCTION("""COMPUTED_VALUE"""),46272.0)</f>
        <v>46272</v>
      </c>
      <c r="X140" s="265" t="str">
        <f>IFERROR(__xludf.DUMMYFUNCTION("""COMPUTED_VALUE"""),"TTAC")</f>
        <v>TTAC</v>
      </c>
      <c r="Y140" s="266">
        <f>IFERROR(__xludf.DUMMYFUNCTION("""COMPUTED_VALUE"""),2.2)</f>
        <v>2.2</v>
      </c>
      <c r="Z140" s="266">
        <f>IFERROR(__xludf.DUMMYFUNCTION("""COMPUTED_VALUE"""),0.9797958971132713)</f>
        <v>0.9797958971</v>
      </c>
      <c r="AA140" s="266">
        <f>IFERROR(__xludf.DUMMYFUNCTION("""COMPUTED_VALUE"""),2.5)</f>
        <v>2.5</v>
      </c>
      <c r="AB140" s="265" t="str">
        <f>IFERROR(__xludf.DUMMYFUNCTION("""COMPUTED_VALUE"""),"Only for You")</f>
        <v>Only for You</v>
      </c>
      <c r="AC140" s="265" t="str">
        <f>IFERROR(__xludf.DUMMYFUNCTION("""COMPUTED_VALUE"""),"Heartless Bastards")</f>
        <v>Heartless Bastards</v>
      </c>
      <c r="AD140" s="299">
        <f t="shared" si="45"/>
        <v>1.13</v>
      </c>
    </row>
    <row r="141">
      <c r="A141" s="268" t="s">
        <v>389</v>
      </c>
      <c r="B141" s="269"/>
      <c r="C141" s="270"/>
      <c r="D141" s="271"/>
      <c r="E141" s="343"/>
      <c r="F141" s="273"/>
      <c r="G141" s="274"/>
      <c r="H141" s="343"/>
      <c r="I141" s="182" t="str">
        <f>IFERROR(__xludf.DUMMYFUNCTION("FILTER(AB$138:AB$143, V$138:V$143=INT(MID(A141,6,1)))"),"Pogo")</f>
        <v>Pogo</v>
      </c>
      <c r="J141" s="38">
        <f t="shared" si="46"/>
        <v>0</v>
      </c>
      <c r="K141" s="38" t="str">
        <f t="shared" si="47"/>
        <v>TBD</v>
      </c>
      <c r="L141" s="38">
        <f t="shared" si="48"/>
        <v>0</v>
      </c>
      <c r="M141" s="182" t="str">
        <f>K142</f>
        <v>TBD</v>
      </c>
      <c r="N141" s="343"/>
      <c r="O141" s="274"/>
      <c r="P141" s="273"/>
      <c r="Q141" s="343"/>
      <c r="R141" s="271"/>
      <c r="S141" s="270"/>
      <c r="T141" s="269"/>
      <c r="V141" s="298">
        <f t="shared" si="44"/>
        <v>2</v>
      </c>
      <c r="W141" s="264">
        <f>IFERROR(__xludf.DUMMYFUNCTION("""COMPUTED_VALUE"""),46274.0)</f>
        <v>46274</v>
      </c>
      <c r="X141" s="265" t="str">
        <f>IFERROR(__xludf.DUMMYFUNCTION("""COMPUTED_VALUE"""),"Logan")</f>
        <v>Logan</v>
      </c>
      <c r="Y141" s="266">
        <f>IFERROR(__xludf.DUMMYFUNCTION("""COMPUTED_VALUE"""),1.6)</f>
        <v>1.6</v>
      </c>
      <c r="Z141" s="266">
        <f>IFERROR(__xludf.DUMMYFUNCTION("""COMPUTED_VALUE"""),0.4898979485566356)</f>
        <v>0.4898979486</v>
      </c>
      <c r="AA141" s="266">
        <f>IFERROR(__xludf.DUMMYFUNCTION("""COMPUTED_VALUE"""),1.75)</f>
        <v>1.75</v>
      </c>
      <c r="AB141" s="265" t="str">
        <f>IFERROR(__xludf.DUMMYFUNCTION("""COMPUTED_VALUE"""),"悲しみがとまらない - I CAN'T STOP THE LONELINESS")</f>
        <v>悲しみがとまらない - I CAN'T STOP THE LONELINESS</v>
      </c>
      <c r="AC141" s="265" t="str">
        <f>IFERROR(__xludf.DUMMYFUNCTION("""COMPUTED_VALUE"""),"Anri")</f>
        <v>Anri</v>
      </c>
      <c r="AD141" s="299">
        <f t="shared" si="45"/>
        <v>5.55</v>
      </c>
    </row>
    <row r="142">
      <c r="A142" s="39" t="s">
        <v>390</v>
      </c>
      <c r="B142" s="269"/>
      <c r="C142" s="270"/>
      <c r="D142" s="283"/>
      <c r="E142" s="343"/>
      <c r="F142" s="273"/>
      <c r="G142" s="284"/>
      <c r="H142" s="343"/>
      <c r="I142" s="182" t="str">
        <f>IFERROR(__xludf.DUMMYFUNCTION("FILTER(AB$138:AB$143, V$138:V$143=INT(MID(A142,6,1)))"),"3x")</f>
        <v>3x</v>
      </c>
      <c r="J142" s="38">
        <f t="shared" si="46"/>
        <v>0</v>
      </c>
      <c r="K142" s="38" t="str">
        <f t="shared" si="47"/>
        <v>TBD</v>
      </c>
      <c r="L142" s="38">
        <f t="shared" si="48"/>
        <v>1</v>
      </c>
      <c r="M142" s="182" t="str">
        <f>IFERROR(__xludf.DUMMYFUNCTION("FILTER(AB$138:AB$143, V$138:V$143=INT(RIGHT(A142,1)))"),"Only for You")</f>
        <v>Only for You</v>
      </c>
      <c r="N142" s="343"/>
      <c r="O142" s="274"/>
      <c r="P142" s="273" t="s">
        <v>382</v>
      </c>
      <c r="Q142" s="351"/>
      <c r="R142" s="271"/>
      <c r="S142" s="270"/>
      <c r="T142" s="269"/>
      <c r="V142" s="298">
        <f t="shared" si="44"/>
        <v>4</v>
      </c>
      <c r="W142" s="264">
        <f>IFERROR(__xludf.DUMMYFUNCTION("""COMPUTED_VALUE"""),46290.0)</f>
        <v>46290</v>
      </c>
      <c r="X142" s="265" t="str">
        <f>IFERROR(__xludf.DUMMYFUNCTION("""COMPUTED_VALUE"""),"Parker")</f>
        <v>Parker</v>
      </c>
      <c r="Y142" s="266">
        <f>IFERROR(__xludf.DUMMYFUNCTION("""COMPUTED_VALUE"""),2.2)</f>
        <v>2.2</v>
      </c>
      <c r="Z142" s="266">
        <f>IFERROR(__xludf.DUMMYFUNCTION("""COMPUTED_VALUE"""),1.16619037896906)</f>
        <v>1.166190379</v>
      </c>
      <c r="AA142" s="266">
        <f>IFERROR(__xludf.DUMMYFUNCTION("""COMPUTED_VALUE"""),2.25)</f>
        <v>2.25</v>
      </c>
      <c r="AB142" s="265" t="str">
        <f>IFERROR(__xludf.DUMMYFUNCTION("""COMPUTED_VALUE"""),"3x")</f>
        <v>3x</v>
      </c>
      <c r="AC142" s="265" t="str">
        <f>IFERROR(__xludf.DUMMYFUNCTION("""COMPUTED_VALUE"""),"Jim Legxacy, Dave")</f>
        <v>Jim Legxacy, Dave</v>
      </c>
      <c r="AD142" s="299">
        <f t="shared" si="45"/>
        <v>1.32</v>
      </c>
    </row>
    <row r="143">
      <c r="A143" s="39" t="s">
        <v>393</v>
      </c>
      <c r="B143" s="269"/>
      <c r="C143" s="270"/>
      <c r="D143" s="271"/>
      <c r="E143" s="343"/>
      <c r="F143" s="273" t="s">
        <v>382</v>
      </c>
      <c r="G143" s="274"/>
      <c r="H143" s="343"/>
      <c r="I143" s="182" t="str">
        <f>IFERROR(__xludf.DUMMYFUNCTION("FILTER(AB$138:AB$143, V$138:V$143=INT(MID(A143,6,1)))"),"Cotton")</f>
        <v>Cotton</v>
      </c>
      <c r="J143" s="38">
        <f t="shared" si="46"/>
        <v>1</v>
      </c>
      <c r="K143" s="38" t="str">
        <f t="shared" si="47"/>
        <v>TBD</v>
      </c>
      <c r="L143" s="38">
        <f t="shared" si="48"/>
        <v>0</v>
      </c>
      <c r="M143" s="182" t="str">
        <f>IFERROR(__xludf.DUMMYFUNCTION("FILTER(AB$138:AB$143, V$138:V$143=INT(RIGHT(A143,1)))"),"No Angels (TLC &amp; the xx cover)")</f>
        <v>No Angels (TLC &amp; the xx cover)</v>
      </c>
      <c r="N143" s="343"/>
      <c r="O143" s="274"/>
      <c r="P143" s="273"/>
      <c r="Q143" s="343"/>
      <c r="R143" s="271"/>
      <c r="S143" s="270"/>
      <c r="T143" s="269"/>
      <c r="V143" s="298">
        <f t="shared" si="44"/>
        <v>1</v>
      </c>
      <c r="W143" s="264">
        <f>IFERROR(__xludf.DUMMYFUNCTION("""COMPUTED_VALUE"""),46293.0)</f>
        <v>46293</v>
      </c>
      <c r="X143" s="265" t="str">
        <f>IFERROR(__xludf.DUMMYFUNCTION("""COMPUTED_VALUE"""),"Parker")</f>
        <v>Parker</v>
      </c>
      <c r="Y143" s="266">
        <f>IFERROR(__xludf.DUMMYFUNCTION("""COMPUTED_VALUE"""),1.25)</f>
        <v>1.25</v>
      </c>
      <c r="Z143" s="266">
        <f>IFERROR(__xludf.DUMMYFUNCTION("""COMPUTED_VALUE"""),0.4330127018922193)</f>
        <v>0.4330127019</v>
      </c>
      <c r="AA143" s="266">
        <f>IFERROR(__xludf.DUMMYFUNCTION("""COMPUTED_VALUE"""),1.3333333333333333)</f>
        <v>1.333333333</v>
      </c>
      <c r="AB143" s="265" t="str">
        <f>IFERROR(__xludf.DUMMYFUNCTION("""COMPUTED_VALUE"""),"Pogo")</f>
        <v>Pogo</v>
      </c>
      <c r="AC143" s="265" t="str">
        <f>IFERROR(__xludf.DUMMYFUNCTION("""COMPUTED_VALUE"""),"Digitalism")</f>
        <v>Digitalism</v>
      </c>
      <c r="AD143" s="299">
        <f t="shared" si="45"/>
        <v>6.66</v>
      </c>
    </row>
    <row r="144">
      <c r="I144" s="234"/>
      <c r="J144" s="234"/>
      <c r="K144" s="234"/>
      <c r="L144" s="234"/>
      <c r="M144" s="234"/>
    </row>
    <row r="145">
      <c r="I145" s="234"/>
      <c r="J145" s="234"/>
      <c r="K145" s="234"/>
      <c r="L145" s="234"/>
      <c r="M145" s="234"/>
    </row>
    <row r="146">
      <c r="I146" s="234"/>
      <c r="J146" s="234"/>
      <c r="K146" s="234"/>
      <c r="L146" s="234"/>
      <c r="M146" s="234"/>
    </row>
    <row r="147">
      <c r="I147" s="234"/>
      <c r="J147" s="234"/>
      <c r="K147" s="234"/>
      <c r="L147" s="234"/>
      <c r="M147" s="234"/>
    </row>
    <row r="148">
      <c r="I148" s="234"/>
      <c r="J148" s="234"/>
      <c r="K148" s="234"/>
      <c r="L148" s="234"/>
      <c r="M148" s="234"/>
    </row>
    <row r="149">
      <c r="I149" s="234"/>
      <c r="J149" s="234"/>
      <c r="K149" s="234"/>
      <c r="L149" s="234"/>
      <c r="M149" s="234"/>
    </row>
    <row r="150">
      <c r="I150" s="234"/>
      <c r="J150" s="234"/>
      <c r="K150" s="234"/>
      <c r="L150" s="234"/>
      <c r="M150" s="234"/>
    </row>
    <row r="151">
      <c r="I151" s="234"/>
      <c r="J151" s="234"/>
      <c r="K151" s="234"/>
      <c r="L151" s="234"/>
      <c r="M151" s="234"/>
    </row>
    <row r="152">
      <c r="I152" s="234"/>
      <c r="J152" s="234"/>
      <c r="K152" s="234"/>
      <c r="L152" s="234"/>
      <c r="M152" s="234"/>
    </row>
    <row r="153">
      <c r="I153" s="234"/>
      <c r="J153" s="234"/>
      <c r="K153" s="234"/>
      <c r="L153" s="234"/>
      <c r="M153" s="234"/>
    </row>
    <row r="154">
      <c r="I154" s="234"/>
      <c r="J154" s="234"/>
      <c r="K154" s="234"/>
      <c r="L154" s="234"/>
      <c r="M154" s="234"/>
    </row>
    <row r="155">
      <c r="I155" s="234"/>
      <c r="J155" s="234"/>
      <c r="K155" s="234"/>
      <c r="L155" s="234"/>
      <c r="M155" s="234"/>
    </row>
    <row r="156">
      <c r="I156" s="234"/>
      <c r="J156" s="234"/>
      <c r="K156" s="234"/>
      <c r="L156" s="234"/>
      <c r="M156" s="234"/>
    </row>
    <row r="157">
      <c r="I157" s="234"/>
      <c r="J157" s="234"/>
      <c r="K157" s="234"/>
      <c r="L157" s="234"/>
      <c r="M157" s="234"/>
    </row>
    <row r="158">
      <c r="I158" s="234"/>
      <c r="J158" s="234"/>
      <c r="K158" s="234"/>
      <c r="L158" s="234"/>
      <c r="M158" s="234"/>
    </row>
    <row r="159">
      <c r="I159" s="234"/>
      <c r="J159" s="234"/>
      <c r="K159" s="234"/>
      <c r="L159" s="234"/>
      <c r="M159" s="234"/>
    </row>
    <row r="160">
      <c r="I160" s="234"/>
      <c r="J160" s="234"/>
      <c r="K160" s="234"/>
      <c r="L160" s="234"/>
      <c r="M160" s="234"/>
    </row>
    <row r="161">
      <c r="I161" s="234"/>
      <c r="J161" s="234"/>
      <c r="K161" s="234"/>
      <c r="L161" s="234"/>
      <c r="M161" s="234"/>
    </row>
    <row r="162">
      <c r="I162" s="234"/>
      <c r="J162" s="234"/>
      <c r="K162" s="234"/>
      <c r="L162" s="234"/>
      <c r="M162" s="234"/>
    </row>
    <row r="163">
      <c r="I163" s="234"/>
      <c r="J163" s="234"/>
      <c r="K163" s="234"/>
      <c r="L163" s="234"/>
      <c r="M163" s="234"/>
    </row>
    <row r="164">
      <c r="I164" s="234"/>
      <c r="J164" s="234"/>
      <c r="K164" s="234"/>
      <c r="L164" s="234"/>
      <c r="M164" s="234"/>
    </row>
    <row r="165">
      <c r="I165" s="234"/>
      <c r="J165" s="234"/>
      <c r="K165" s="234"/>
      <c r="L165" s="234"/>
      <c r="M165" s="234"/>
    </row>
    <row r="166">
      <c r="I166" s="234"/>
      <c r="J166" s="234"/>
      <c r="K166" s="234"/>
      <c r="L166" s="234"/>
      <c r="M166" s="234"/>
    </row>
    <row r="167">
      <c r="I167" s="234"/>
      <c r="J167" s="234"/>
      <c r="K167" s="234"/>
      <c r="L167" s="234"/>
      <c r="M167" s="234"/>
    </row>
    <row r="168">
      <c r="I168" s="234"/>
      <c r="J168" s="234"/>
      <c r="K168" s="234"/>
      <c r="L168" s="234"/>
      <c r="M168" s="234"/>
    </row>
    <row r="169">
      <c r="I169" s="234"/>
      <c r="J169" s="234"/>
      <c r="K169" s="234"/>
      <c r="L169" s="234"/>
      <c r="M169" s="234"/>
    </row>
    <row r="170">
      <c r="I170" s="234"/>
      <c r="J170" s="234"/>
      <c r="K170" s="234"/>
      <c r="L170" s="234"/>
      <c r="M170" s="234"/>
    </row>
    <row r="171">
      <c r="I171" s="234"/>
      <c r="J171" s="234"/>
      <c r="K171" s="234"/>
      <c r="L171" s="234"/>
      <c r="M171" s="234"/>
    </row>
    <row r="172">
      <c r="I172" s="234"/>
      <c r="J172" s="234"/>
      <c r="K172" s="234"/>
      <c r="L172" s="234"/>
      <c r="M172" s="234"/>
    </row>
    <row r="173">
      <c r="I173" s="234"/>
      <c r="J173" s="234"/>
      <c r="K173" s="234"/>
      <c r="L173" s="234"/>
      <c r="M173" s="234"/>
    </row>
    <row r="174">
      <c r="I174" s="234"/>
      <c r="J174" s="234"/>
      <c r="K174" s="234"/>
      <c r="L174" s="234"/>
      <c r="M174" s="234"/>
    </row>
    <row r="175">
      <c r="I175" s="234"/>
      <c r="J175" s="234"/>
      <c r="K175" s="234"/>
      <c r="L175" s="234"/>
      <c r="M175" s="234"/>
    </row>
    <row r="176">
      <c r="I176" s="234"/>
      <c r="J176" s="234"/>
      <c r="K176" s="234"/>
      <c r="L176" s="234"/>
      <c r="M176" s="234"/>
    </row>
    <row r="177">
      <c r="I177" s="234"/>
      <c r="J177" s="234"/>
      <c r="K177" s="234"/>
      <c r="L177" s="234"/>
      <c r="M177" s="234"/>
    </row>
    <row r="178">
      <c r="I178" s="234"/>
      <c r="J178" s="234"/>
      <c r="K178" s="234"/>
      <c r="L178" s="234"/>
      <c r="M178" s="234"/>
    </row>
    <row r="179">
      <c r="I179" s="234"/>
      <c r="J179" s="234"/>
      <c r="K179" s="234"/>
      <c r="L179" s="234"/>
      <c r="M179" s="234"/>
    </row>
    <row r="180">
      <c r="I180" s="234"/>
      <c r="J180" s="234"/>
      <c r="K180" s="234"/>
      <c r="L180" s="234"/>
      <c r="M180" s="234"/>
    </row>
    <row r="181">
      <c r="I181" s="234"/>
      <c r="J181" s="234"/>
      <c r="K181" s="234"/>
      <c r="L181" s="234"/>
      <c r="M181" s="234"/>
    </row>
    <row r="182">
      <c r="I182" s="234"/>
      <c r="J182" s="234"/>
      <c r="K182" s="234"/>
      <c r="L182" s="234"/>
      <c r="M182" s="234"/>
    </row>
    <row r="183">
      <c r="I183" s="234"/>
      <c r="J183" s="234"/>
      <c r="K183" s="234"/>
      <c r="L183" s="234"/>
      <c r="M183" s="234"/>
    </row>
    <row r="184">
      <c r="I184" s="234"/>
      <c r="J184" s="234"/>
      <c r="K184" s="234"/>
      <c r="L184" s="234"/>
      <c r="M184" s="234"/>
    </row>
    <row r="185">
      <c r="I185" s="234"/>
      <c r="J185" s="234"/>
      <c r="K185" s="234"/>
      <c r="L185" s="234"/>
      <c r="M185" s="234"/>
    </row>
    <row r="186">
      <c r="I186" s="234"/>
      <c r="J186" s="234"/>
      <c r="K186" s="234"/>
      <c r="L186" s="234"/>
      <c r="M186" s="234"/>
    </row>
    <row r="187">
      <c r="I187" s="234"/>
      <c r="J187" s="234"/>
      <c r="K187" s="234"/>
      <c r="L187" s="234"/>
      <c r="M187" s="234"/>
    </row>
    <row r="188">
      <c r="I188" s="234"/>
      <c r="J188" s="234"/>
      <c r="K188" s="234"/>
      <c r="L188" s="234"/>
      <c r="M188" s="234"/>
    </row>
    <row r="189">
      <c r="I189" s="234"/>
      <c r="J189" s="234"/>
      <c r="K189" s="234"/>
      <c r="L189" s="234"/>
      <c r="M189" s="234"/>
    </row>
    <row r="190">
      <c r="I190" s="234"/>
      <c r="J190" s="234"/>
      <c r="K190" s="234"/>
      <c r="L190" s="234"/>
      <c r="M190" s="234"/>
    </row>
    <row r="191">
      <c r="I191" s="234"/>
      <c r="J191" s="234"/>
      <c r="K191" s="234"/>
      <c r="L191" s="234"/>
      <c r="M191" s="234"/>
    </row>
    <row r="192">
      <c r="I192" s="234"/>
      <c r="J192" s="234"/>
      <c r="K192" s="234"/>
      <c r="L192" s="234"/>
      <c r="M192" s="234"/>
    </row>
    <row r="193">
      <c r="I193" s="234"/>
      <c r="J193" s="234"/>
      <c r="K193" s="234"/>
      <c r="L193" s="234"/>
      <c r="M193" s="234"/>
    </row>
    <row r="194">
      <c r="I194" s="234"/>
      <c r="J194" s="234"/>
      <c r="K194" s="234"/>
      <c r="L194" s="234"/>
      <c r="M194" s="234"/>
    </row>
    <row r="195">
      <c r="I195" s="234"/>
      <c r="J195" s="234"/>
      <c r="K195" s="234"/>
      <c r="L195" s="234"/>
      <c r="M195" s="234"/>
    </row>
    <row r="196">
      <c r="I196" s="234"/>
      <c r="J196" s="234"/>
      <c r="K196" s="234"/>
      <c r="L196" s="234"/>
      <c r="M196" s="234"/>
    </row>
    <row r="197">
      <c r="I197" s="234"/>
      <c r="J197" s="234"/>
      <c r="K197" s="234"/>
      <c r="L197" s="234"/>
      <c r="M197" s="234"/>
    </row>
    <row r="198">
      <c r="I198" s="234"/>
      <c r="J198" s="234"/>
      <c r="K198" s="234"/>
      <c r="L198" s="234"/>
      <c r="M198" s="234"/>
    </row>
    <row r="199">
      <c r="I199" s="234"/>
      <c r="J199" s="234"/>
      <c r="K199" s="234"/>
      <c r="L199" s="234"/>
      <c r="M199" s="234"/>
    </row>
    <row r="200">
      <c r="I200" s="234"/>
      <c r="J200" s="234"/>
      <c r="K200" s="234"/>
      <c r="L200" s="234"/>
      <c r="M200" s="234"/>
    </row>
    <row r="201">
      <c r="I201" s="234"/>
      <c r="J201" s="234"/>
      <c r="K201" s="234"/>
      <c r="L201" s="234"/>
      <c r="M201" s="234"/>
    </row>
    <row r="202">
      <c r="I202" s="234"/>
      <c r="J202" s="234"/>
      <c r="K202" s="234"/>
      <c r="L202" s="234"/>
      <c r="M202" s="234"/>
    </row>
    <row r="203">
      <c r="I203" s="234"/>
      <c r="J203" s="234"/>
      <c r="K203" s="234"/>
      <c r="L203" s="234"/>
      <c r="M203" s="234"/>
    </row>
    <row r="204">
      <c r="I204" s="234"/>
      <c r="J204" s="234"/>
      <c r="K204" s="234"/>
      <c r="L204" s="234"/>
      <c r="M204" s="234"/>
    </row>
    <row r="205">
      <c r="I205" s="234"/>
      <c r="J205" s="234"/>
      <c r="K205" s="234"/>
      <c r="L205" s="234"/>
      <c r="M205" s="234"/>
    </row>
    <row r="206">
      <c r="I206" s="234"/>
      <c r="J206" s="234"/>
      <c r="K206" s="234"/>
      <c r="L206" s="234"/>
      <c r="M206" s="234"/>
    </row>
    <row r="207">
      <c r="I207" s="234"/>
      <c r="J207" s="234"/>
      <c r="K207" s="234"/>
      <c r="L207" s="234"/>
      <c r="M207" s="234"/>
    </row>
    <row r="208">
      <c r="I208" s="234"/>
      <c r="J208" s="234"/>
      <c r="K208" s="234"/>
      <c r="L208" s="234"/>
      <c r="M208" s="234"/>
    </row>
    <row r="209">
      <c r="I209" s="234"/>
      <c r="J209" s="234"/>
      <c r="K209" s="234"/>
      <c r="L209" s="234"/>
      <c r="M209" s="234"/>
    </row>
    <row r="210">
      <c r="I210" s="234"/>
      <c r="J210" s="234"/>
      <c r="K210" s="234"/>
      <c r="L210" s="234"/>
      <c r="M210" s="234"/>
    </row>
    <row r="211">
      <c r="I211" s="234"/>
      <c r="J211" s="234"/>
      <c r="K211" s="234"/>
      <c r="L211" s="234"/>
      <c r="M211" s="234"/>
    </row>
    <row r="212">
      <c r="I212" s="234"/>
      <c r="J212" s="234"/>
      <c r="K212" s="234"/>
      <c r="L212" s="234"/>
      <c r="M212" s="234"/>
    </row>
    <row r="213">
      <c r="I213" s="234"/>
      <c r="J213" s="234"/>
      <c r="K213" s="234"/>
      <c r="L213" s="234"/>
      <c r="M213" s="234"/>
    </row>
    <row r="214">
      <c r="I214" s="234"/>
      <c r="J214" s="234"/>
      <c r="K214" s="234"/>
      <c r="L214" s="234"/>
      <c r="M214" s="234"/>
    </row>
    <row r="215">
      <c r="I215" s="234"/>
      <c r="J215" s="234"/>
      <c r="K215" s="234"/>
      <c r="L215" s="234"/>
      <c r="M215" s="234"/>
    </row>
    <row r="216">
      <c r="I216" s="234"/>
      <c r="J216" s="234"/>
      <c r="K216" s="234"/>
      <c r="L216" s="234"/>
      <c r="M216" s="234"/>
    </row>
    <row r="217">
      <c r="I217" s="234"/>
      <c r="J217" s="234"/>
      <c r="K217" s="234"/>
      <c r="L217" s="234"/>
      <c r="M217" s="234"/>
    </row>
    <row r="218">
      <c r="I218" s="234"/>
      <c r="J218" s="234"/>
      <c r="K218" s="234"/>
      <c r="L218" s="234"/>
      <c r="M218" s="234"/>
    </row>
    <row r="219">
      <c r="I219" s="234"/>
      <c r="J219" s="234"/>
      <c r="K219" s="234"/>
      <c r="L219" s="234"/>
      <c r="M219" s="234"/>
    </row>
    <row r="220">
      <c r="I220" s="234"/>
      <c r="J220" s="234"/>
      <c r="K220" s="234"/>
      <c r="L220" s="234"/>
      <c r="M220" s="234"/>
    </row>
    <row r="221">
      <c r="I221" s="234"/>
      <c r="J221" s="234"/>
      <c r="K221" s="234"/>
      <c r="L221" s="234"/>
      <c r="M221" s="234"/>
    </row>
    <row r="222">
      <c r="I222" s="234"/>
      <c r="J222" s="234"/>
      <c r="K222" s="234"/>
      <c r="L222" s="234"/>
      <c r="M222" s="234"/>
    </row>
    <row r="223">
      <c r="I223" s="234"/>
      <c r="J223" s="234"/>
      <c r="K223" s="234"/>
      <c r="L223" s="234"/>
      <c r="M223" s="234"/>
    </row>
    <row r="224">
      <c r="I224" s="234"/>
      <c r="J224" s="234"/>
      <c r="K224" s="234"/>
      <c r="L224" s="234"/>
      <c r="M224" s="234"/>
    </row>
    <row r="225">
      <c r="I225" s="234"/>
      <c r="J225" s="234"/>
      <c r="K225" s="234"/>
      <c r="L225" s="234"/>
      <c r="M225" s="234"/>
    </row>
    <row r="226">
      <c r="I226" s="234"/>
      <c r="J226" s="234"/>
      <c r="K226" s="234"/>
      <c r="L226" s="234"/>
      <c r="M226" s="234"/>
    </row>
    <row r="227">
      <c r="I227" s="234"/>
      <c r="J227" s="234"/>
      <c r="K227" s="234"/>
      <c r="L227" s="234"/>
      <c r="M227" s="234"/>
    </row>
    <row r="228">
      <c r="I228" s="234"/>
      <c r="J228" s="234"/>
      <c r="K228" s="234"/>
      <c r="L228" s="234"/>
      <c r="M228" s="234"/>
    </row>
    <row r="229">
      <c r="I229" s="234"/>
      <c r="J229" s="234"/>
      <c r="K229" s="234"/>
      <c r="L229" s="234"/>
      <c r="M229" s="234"/>
    </row>
    <row r="230">
      <c r="I230" s="234"/>
      <c r="J230" s="234"/>
      <c r="K230" s="234"/>
      <c r="L230" s="234"/>
      <c r="M230" s="234"/>
    </row>
    <row r="231">
      <c r="I231" s="234"/>
      <c r="J231" s="234"/>
      <c r="K231" s="234"/>
      <c r="L231" s="234"/>
      <c r="M231" s="234"/>
    </row>
    <row r="232">
      <c r="I232" s="234"/>
      <c r="J232" s="234"/>
      <c r="K232" s="234"/>
      <c r="L232" s="234"/>
      <c r="M232" s="234"/>
    </row>
    <row r="233">
      <c r="I233" s="234"/>
      <c r="J233" s="234"/>
      <c r="K233" s="234"/>
      <c r="L233" s="234"/>
      <c r="M233" s="234"/>
    </row>
    <row r="234">
      <c r="I234" s="234"/>
      <c r="J234" s="234"/>
      <c r="K234" s="234"/>
      <c r="L234" s="234"/>
      <c r="M234" s="234"/>
    </row>
    <row r="235">
      <c r="I235" s="234"/>
      <c r="J235" s="234"/>
      <c r="K235" s="234"/>
      <c r="L235" s="234"/>
      <c r="M235" s="234"/>
    </row>
    <row r="236">
      <c r="I236" s="234"/>
      <c r="J236" s="234"/>
      <c r="K236" s="234"/>
      <c r="L236" s="234"/>
      <c r="M236" s="234"/>
    </row>
    <row r="237">
      <c r="I237" s="234"/>
      <c r="J237" s="234"/>
      <c r="K237" s="234"/>
      <c r="L237" s="234"/>
      <c r="M237" s="234"/>
    </row>
    <row r="238">
      <c r="I238" s="234"/>
      <c r="J238" s="234"/>
      <c r="K238" s="234"/>
      <c r="L238" s="234"/>
      <c r="M238" s="234"/>
    </row>
    <row r="239">
      <c r="I239" s="234"/>
      <c r="J239" s="234"/>
      <c r="K239" s="234"/>
      <c r="L239" s="234"/>
      <c r="M239" s="234"/>
    </row>
    <row r="240">
      <c r="I240" s="234"/>
      <c r="J240" s="234"/>
      <c r="K240" s="234"/>
      <c r="L240" s="234"/>
      <c r="M240" s="234"/>
    </row>
    <row r="241">
      <c r="I241" s="234"/>
      <c r="J241" s="234"/>
      <c r="K241" s="234"/>
      <c r="L241" s="234"/>
      <c r="M241" s="234"/>
    </row>
    <row r="242">
      <c r="I242" s="234"/>
      <c r="J242" s="234"/>
      <c r="K242" s="234"/>
      <c r="L242" s="234"/>
      <c r="M242" s="234"/>
    </row>
    <row r="243">
      <c r="I243" s="234"/>
      <c r="J243" s="234"/>
      <c r="K243" s="234"/>
      <c r="L243" s="234"/>
      <c r="M243" s="234"/>
    </row>
    <row r="244">
      <c r="I244" s="234"/>
      <c r="J244" s="234"/>
      <c r="K244" s="234"/>
      <c r="L244" s="234"/>
      <c r="M244" s="234"/>
    </row>
    <row r="245">
      <c r="I245" s="234"/>
      <c r="J245" s="234"/>
      <c r="K245" s="234"/>
      <c r="L245" s="234"/>
      <c r="M245" s="234"/>
    </row>
    <row r="246">
      <c r="I246" s="234"/>
      <c r="J246" s="234"/>
      <c r="K246" s="234"/>
      <c r="L246" s="234"/>
      <c r="M246" s="234"/>
    </row>
    <row r="247">
      <c r="I247" s="234"/>
      <c r="J247" s="234"/>
      <c r="K247" s="234"/>
      <c r="L247" s="234"/>
      <c r="M247" s="234"/>
    </row>
    <row r="248">
      <c r="I248" s="234"/>
      <c r="J248" s="234"/>
      <c r="K248" s="234"/>
      <c r="L248" s="234"/>
      <c r="M248" s="234"/>
    </row>
    <row r="249">
      <c r="I249" s="234"/>
      <c r="J249" s="234"/>
      <c r="K249" s="234"/>
      <c r="L249" s="234"/>
      <c r="M249" s="234"/>
    </row>
    <row r="250">
      <c r="I250" s="234"/>
      <c r="J250" s="234"/>
      <c r="K250" s="234"/>
      <c r="L250" s="234"/>
      <c r="M250" s="234"/>
    </row>
    <row r="251">
      <c r="I251" s="234"/>
      <c r="J251" s="234"/>
      <c r="K251" s="234"/>
      <c r="L251" s="234"/>
      <c r="M251" s="234"/>
    </row>
    <row r="252">
      <c r="I252" s="234"/>
      <c r="J252" s="234"/>
      <c r="K252" s="234"/>
      <c r="L252" s="234"/>
      <c r="M252" s="234"/>
    </row>
    <row r="253">
      <c r="I253" s="234"/>
      <c r="J253" s="234"/>
      <c r="K253" s="234"/>
      <c r="L253" s="234"/>
      <c r="M253" s="234"/>
    </row>
    <row r="254">
      <c r="I254" s="234"/>
      <c r="J254" s="234"/>
      <c r="K254" s="234"/>
      <c r="L254" s="234"/>
      <c r="M254" s="234"/>
    </row>
    <row r="255">
      <c r="I255" s="234"/>
      <c r="J255" s="234"/>
      <c r="K255" s="234"/>
      <c r="L255" s="234"/>
      <c r="M255" s="234"/>
    </row>
    <row r="256">
      <c r="I256" s="234"/>
      <c r="J256" s="234"/>
      <c r="K256" s="234"/>
      <c r="L256" s="234"/>
      <c r="M256" s="234"/>
    </row>
    <row r="257">
      <c r="I257" s="234"/>
      <c r="J257" s="234"/>
      <c r="K257" s="234"/>
      <c r="L257" s="234"/>
      <c r="M257" s="234"/>
    </row>
    <row r="258">
      <c r="I258" s="234"/>
      <c r="J258" s="234"/>
      <c r="K258" s="234"/>
      <c r="L258" s="234"/>
      <c r="M258" s="234"/>
    </row>
    <row r="259">
      <c r="I259" s="234"/>
      <c r="J259" s="234"/>
      <c r="K259" s="234"/>
      <c r="L259" s="234"/>
      <c r="M259" s="234"/>
    </row>
    <row r="260">
      <c r="I260" s="234"/>
      <c r="J260" s="234"/>
      <c r="K260" s="234"/>
      <c r="L260" s="234"/>
      <c r="M260" s="234"/>
    </row>
    <row r="261">
      <c r="I261" s="234"/>
      <c r="J261" s="234"/>
      <c r="K261" s="234"/>
      <c r="L261" s="234"/>
      <c r="M261" s="234"/>
    </row>
    <row r="262">
      <c r="I262" s="234"/>
      <c r="J262" s="234"/>
      <c r="K262" s="234"/>
      <c r="L262" s="234"/>
      <c r="M262" s="234"/>
    </row>
    <row r="263">
      <c r="I263" s="234"/>
      <c r="J263" s="234"/>
      <c r="K263" s="234"/>
      <c r="L263" s="234"/>
      <c r="M263" s="234"/>
    </row>
    <row r="264">
      <c r="I264" s="234"/>
      <c r="J264" s="234"/>
      <c r="K264" s="234"/>
      <c r="L264" s="234"/>
      <c r="M264" s="234"/>
    </row>
    <row r="265">
      <c r="I265" s="234"/>
      <c r="J265" s="234"/>
      <c r="K265" s="234"/>
      <c r="L265" s="234"/>
      <c r="M265" s="234"/>
    </row>
    <row r="266">
      <c r="I266" s="234"/>
      <c r="J266" s="234"/>
      <c r="K266" s="234"/>
      <c r="L266" s="234"/>
      <c r="M266" s="234"/>
    </row>
    <row r="267">
      <c r="I267" s="234"/>
      <c r="J267" s="234"/>
      <c r="K267" s="234"/>
      <c r="L267" s="234"/>
      <c r="M267" s="234"/>
    </row>
    <row r="268">
      <c r="I268" s="234"/>
      <c r="J268" s="234"/>
      <c r="K268" s="234"/>
      <c r="L268" s="234"/>
      <c r="M268" s="234"/>
    </row>
    <row r="269">
      <c r="I269" s="234"/>
      <c r="J269" s="234"/>
      <c r="K269" s="234"/>
      <c r="L269" s="234"/>
      <c r="M269" s="234"/>
    </row>
    <row r="270">
      <c r="I270" s="234"/>
      <c r="J270" s="234"/>
      <c r="K270" s="234"/>
      <c r="L270" s="234"/>
      <c r="M270" s="234"/>
    </row>
    <row r="271">
      <c r="I271" s="234"/>
      <c r="J271" s="234"/>
      <c r="K271" s="234"/>
      <c r="L271" s="234"/>
      <c r="M271" s="234"/>
    </row>
    <row r="272">
      <c r="I272" s="234"/>
      <c r="J272" s="234"/>
      <c r="K272" s="234"/>
      <c r="L272" s="234"/>
      <c r="M272" s="234"/>
    </row>
    <row r="273">
      <c r="I273" s="234"/>
      <c r="J273" s="234"/>
      <c r="K273" s="234"/>
      <c r="L273" s="234"/>
      <c r="M273" s="234"/>
    </row>
    <row r="274">
      <c r="I274" s="234"/>
      <c r="J274" s="234"/>
      <c r="K274" s="234"/>
      <c r="L274" s="234"/>
      <c r="M274" s="234"/>
    </row>
    <row r="275">
      <c r="I275" s="234"/>
      <c r="J275" s="234"/>
      <c r="K275" s="234"/>
      <c r="L275" s="234"/>
      <c r="M275" s="234"/>
    </row>
    <row r="276">
      <c r="I276" s="234"/>
      <c r="J276" s="234"/>
      <c r="K276" s="234"/>
      <c r="L276" s="234"/>
      <c r="M276" s="234"/>
    </row>
    <row r="277">
      <c r="I277" s="234"/>
      <c r="J277" s="234"/>
      <c r="K277" s="234"/>
      <c r="L277" s="234"/>
      <c r="M277" s="234"/>
    </row>
    <row r="278">
      <c r="I278" s="234"/>
      <c r="J278" s="234"/>
      <c r="K278" s="234"/>
      <c r="L278" s="234"/>
      <c r="M278" s="234"/>
    </row>
    <row r="279">
      <c r="I279" s="234"/>
      <c r="J279" s="234"/>
      <c r="K279" s="234"/>
      <c r="L279" s="234"/>
      <c r="M279" s="234"/>
    </row>
    <row r="280">
      <c r="I280" s="234"/>
      <c r="J280" s="234"/>
      <c r="K280" s="234"/>
      <c r="L280" s="234"/>
      <c r="M280" s="234"/>
    </row>
    <row r="281">
      <c r="I281" s="234"/>
      <c r="J281" s="234"/>
      <c r="K281" s="234"/>
      <c r="L281" s="234"/>
      <c r="M281" s="234"/>
    </row>
    <row r="282">
      <c r="I282" s="234"/>
      <c r="J282" s="234"/>
      <c r="K282" s="234"/>
      <c r="L282" s="234"/>
      <c r="M282" s="234"/>
    </row>
    <row r="283">
      <c r="I283" s="234"/>
      <c r="J283" s="234"/>
      <c r="K283" s="234"/>
      <c r="L283" s="234"/>
      <c r="M283" s="234"/>
    </row>
    <row r="284">
      <c r="I284" s="234"/>
      <c r="J284" s="234"/>
      <c r="K284" s="234"/>
      <c r="L284" s="234"/>
      <c r="M284" s="234"/>
    </row>
    <row r="285">
      <c r="I285" s="234"/>
      <c r="J285" s="234"/>
      <c r="K285" s="234"/>
      <c r="L285" s="234"/>
      <c r="M285" s="234"/>
    </row>
    <row r="286">
      <c r="I286" s="234"/>
      <c r="J286" s="234"/>
      <c r="K286" s="234"/>
      <c r="L286" s="234"/>
      <c r="M286" s="234"/>
    </row>
    <row r="287">
      <c r="I287" s="234"/>
      <c r="J287" s="234"/>
      <c r="K287" s="234"/>
      <c r="L287" s="234"/>
      <c r="M287" s="234"/>
    </row>
    <row r="288">
      <c r="I288" s="234"/>
      <c r="J288" s="234"/>
      <c r="K288" s="234"/>
      <c r="L288" s="234"/>
      <c r="M288" s="234"/>
    </row>
    <row r="289">
      <c r="I289" s="234"/>
      <c r="J289" s="234"/>
      <c r="K289" s="234"/>
      <c r="L289" s="234"/>
      <c r="M289" s="234"/>
    </row>
    <row r="290">
      <c r="I290" s="234"/>
      <c r="J290" s="234"/>
      <c r="K290" s="234"/>
      <c r="L290" s="234"/>
      <c r="M290" s="234"/>
    </row>
    <row r="291">
      <c r="I291" s="234"/>
      <c r="J291" s="234"/>
      <c r="K291" s="234"/>
      <c r="L291" s="234"/>
      <c r="M291" s="234"/>
    </row>
    <row r="292">
      <c r="I292" s="234"/>
      <c r="J292" s="234"/>
      <c r="K292" s="234"/>
      <c r="L292" s="234"/>
      <c r="M292" s="234"/>
    </row>
    <row r="293">
      <c r="I293" s="234"/>
      <c r="J293" s="234"/>
      <c r="K293" s="234"/>
      <c r="L293" s="234"/>
      <c r="M293" s="234"/>
    </row>
    <row r="294">
      <c r="I294" s="234"/>
      <c r="J294" s="234"/>
      <c r="K294" s="234"/>
      <c r="L294" s="234"/>
      <c r="M294" s="234"/>
    </row>
    <row r="295">
      <c r="I295" s="234"/>
      <c r="J295" s="234"/>
      <c r="K295" s="234"/>
      <c r="L295" s="234"/>
      <c r="M295" s="234"/>
    </row>
    <row r="296">
      <c r="I296" s="234"/>
      <c r="J296" s="234"/>
      <c r="K296" s="234"/>
      <c r="L296" s="234"/>
      <c r="M296" s="234"/>
    </row>
    <row r="297">
      <c r="I297" s="234"/>
      <c r="J297" s="234"/>
      <c r="K297" s="234"/>
      <c r="L297" s="234"/>
      <c r="M297" s="234"/>
    </row>
    <row r="298">
      <c r="I298" s="234"/>
      <c r="J298" s="234"/>
      <c r="K298" s="234"/>
      <c r="L298" s="234"/>
      <c r="M298" s="234"/>
    </row>
    <row r="299">
      <c r="I299" s="234"/>
      <c r="J299" s="234"/>
      <c r="K299" s="234"/>
      <c r="L299" s="234"/>
      <c r="M299" s="234"/>
    </row>
    <row r="300">
      <c r="I300" s="234"/>
      <c r="J300" s="234"/>
      <c r="K300" s="234"/>
      <c r="L300" s="234"/>
      <c r="M300" s="234"/>
    </row>
    <row r="301">
      <c r="I301" s="234"/>
      <c r="J301" s="234"/>
      <c r="K301" s="234"/>
      <c r="L301" s="234"/>
      <c r="M301" s="234"/>
    </row>
    <row r="302">
      <c r="I302" s="234"/>
      <c r="J302" s="234"/>
      <c r="K302" s="234"/>
      <c r="L302" s="234"/>
      <c r="M302" s="234"/>
    </row>
    <row r="303">
      <c r="I303" s="234"/>
      <c r="J303" s="234"/>
      <c r="K303" s="234"/>
      <c r="L303" s="234"/>
      <c r="M303" s="234"/>
    </row>
    <row r="304">
      <c r="I304" s="234"/>
      <c r="J304" s="234"/>
      <c r="K304" s="234"/>
      <c r="L304" s="234"/>
      <c r="M304" s="234"/>
    </row>
    <row r="305">
      <c r="I305" s="234"/>
      <c r="J305" s="234"/>
      <c r="K305" s="234"/>
      <c r="L305" s="234"/>
      <c r="M305" s="234"/>
    </row>
    <row r="306">
      <c r="I306" s="234"/>
      <c r="J306" s="234"/>
      <c r="K306" s="234"/>
      <c r="L306" s="234"/>
      <c r="M306" s="234"/>
    </row>
    <row r="307">
      <c r="I307" s="234"/>
      <c r="J307" s="234"/>
      <c r="K307" s="234"/>
      <c r="L307" s="234"/>
      <c r="M307" s="234"/>
    </row>
    <row r="308">
      <c r="I308" s="234"/>
      <c r="J308" s="234"/>
      <c r="K308" s="234"/>
      <c r="L308" s="234"/>
      <c r="M308" s="234"/>
    </row>
    <row r="309">
      <c r="I309" s="234"/>
      <c r="J309" s="234"/>
      <c r="K309" s="234"/>
      <c r="L309" s="234"/>
      <c r="M309" s="234"/>
    </row>
    <row r="310">
      <c r="I310" s="234"/>
      <c r="J310" s="234"/>
      <c r="K310" s="234"/>
      <c r="L310" s="234"/>
      <c r="M310" s="234"/>
    </row>
    <row r="311">
      <c r="I311" s="234"/>
      <c r="J311" s="234"/>
      <c r="K311" s="234"/>
      <c r="L311" s="234"/>
      <c r="M311" s="234"/>
    </row>
    <row r="312">
      <c r="I312" s="234"/>
      <c r="J312" s="234"/>
      <c r="K312" s="234"/>
      <c r="L312" s="234"/>
      <c r="M312" s="234"/>
    </row>
    <row r="313">
      <c r="I313" s="234"/>
      <c r="J313" s="234"/>
      <c r="K313" s="234"/>
      <c r="L313" s="234"/>
      <c r="M313" s="234"/>
    </row>
    <row r="314">
      <c r="I314" s="234"/>
      <c r="J314" s="234"/>
      <c r="K314" s="234"/>
      <c r="L314" s="234"/>
      <c r="M314" s="234"/>
    </row>
    <row r="315">
      <c r="I315" s="234"/>
      <c r="J315" s="234"/>
      <c r="K315" s="234"/>
      <c r="L315" s="234"/>
      <c r="M315" s="234"/>
    </row>
    <row r="316">
      <c r="I316" s="234"/>
      <c r="J316" s="234"/>
      <c r="K316" s="234"/>
      <c r="L316" s="234"/>
      <c r="M316" s="234"/>
    </row>
    <row r="317">
      <c r="I317" s="234"/>
      <c r="J317" s="234"/>
      <c r="K317" s="234"/>
      <c r="L317" s="234"/>
      <c r="M317" s="234"/>
    </row>
    <row r="318">
      <c r="I318" s="234"/>
      <c r="J318" s="234"/>
      <c r="K318" s="234"/>
      <c r="L318" s="234"/>
      <c r="M318" s="234"/>
    </row>
    <row r="319">
      <c r="I319" s="234"/>
      <c r="J319" s="234"/>
      <c r="K319" s="234"/>
      <c r="L319" s="234"/>
      <c r="M319" s="234"/>
    </row>
    <row r="320">
      <c r="I320" s="234"/>
      <c r="J320" s="234"/>
      <c r="K320" s="234"/>
      <c r="L320" s="234"/>
      <c r="M320" s="234"/>
    </row>
    <row r="321">
      <c r="I321" s="234"/>
      <c r="J321" s="234"/>
      <c r="K321" s="234"/>
      <c r="L321" s="234"/>
      <c r="M321" s="234"/>
    </row>
    <row r="322">
      <c r="I322" s="234"/>
      <c r="J322" s="234"/>
      <c r="K322" s="234"/>
      <c r="L322" s="234"/>
      <c r="M322" s="234"/>
    </row>
    <row r="323">
      <c r="I323" s="234"/>
      <c r="J323" s="234"/>
      <c r="K323" s="234"/>
      <c r="L323" s="234"/>
      <c r="M323" s="234"/>
    </row>
    <row r="324">
      <c r="I324" s="234"/>
      <c r="J324" s="234"/>
      <c r="K324" s="234"/>
      <c r="L324" s="234"/>
      <c r="M324" s="234"/>
    </row>
    <row r="325">
      <c r="I325" s="234"/>
      <c r="J325" s="234"/>
      <c r="K325" s="234"/>
      <c r="L325" s="234"/>
      <c r="M325" s="234"/>
    </row>
    <row r="326">
      <c r="I326" s="234"/>
      <c r="J326" s="234"/>
      <c r="K326" s="234"/>
      <c r="L326" s="234"/>
      <c r="M326" s="234"/>
    </row>
    <row r="327">
      <c r="I327" s="234"/>
      <c r="J327" s="234"/>
      <c r="K327" s="234"/>
      <c r="L327" s="234"/>
      <c r="M327" s="234"/>
    </row>
    <row r="328">
      <c r="I328" s="234"/>
      <c r="J328" s="234"/>
      <c r="K328" s="234"/>
      <c r="L328" s="234"/>
      <c r="M328" s="234"/>
    </row>
    <row r="329">
      <c r="I329" s="234"/>
      <c r="J329" s="234"/>
      <c r="K329" s="234"/>
      <c r="L329" s="234"/>
      <c r="M329" s="234"/>
    </row>
    <row r="330">
      <c r="I330" s="234"/>
      <c r="J330" s="234"/>
      <c r="K330" s="234"/>
      <c r="L330" s="234"/>
      <c r="M330" s="234"/>
    </row>
    <row r="331">
      <c r="I331" s="234"/>
      <c r="J331" s="234"/>
      <c r="K331" s="234"/>
      <c r="L331" s="234"/>
      <c r="M331" s="234"/>
    </row>
    <row r="332">
      <c r="I332" s="234"/>
      <c r="J332" s="234"/>
      <c r="K332" s="234"/>
      <c r="L332" s="234"/>
      <c r="M332" s="234"/>
    </row>
    <row r="333">
      <c r="I333" s="234"/>
      <c r="J333" s="234"/>
      <c r="K333" s="234"/>
      <c r="L333" s="234"/>
      <c r="M333" s="234"/>
    </row>
    <row r="334">
      <c r="I334" s="234"/>
      <c r="J334" s="234"/>
      <c r="K334" s="234"/>
      <c r="L334" s="234"/>
      <c r="M334" s="234"/>
    </row>
    <row r="335">
      <c r="I335" s="234"/>
      <c r="J335" s="234"/>
      <c r="K335" s="234"/>
      <c r="L335" s="234"/>
      <c r="M335" s="234"/>
    </row>
    <row r="336">
      <c r="I336" s="234"/>
      <c r="J336" s="234"/>
      <c r="K336" s="234"/>
      <c r="L336" s="234"/>
      <c r="M336" s="234"/>
    </row>
    <row r="337">
      <c r="I337" s="234"/>
      <c r="J337" s="234"/>
      <c r="K337" s="234"/>
      <c r="L337" s="234"/>
      <c r="M337" s="234"/>
    </row>
    <row r="338">
      <c r="I338" s="234"/>
      <c r="J338" s="234"/>
      <c r="K338" s="234"/>
      <c r="L338" s="234"/>
      <c r="M338" s="234"/>
    </row>
    <row r="339">
      <c r="I339" s="234"/>
      <c r="J339" s="234"/>
      <c r="K339" s="234"/>
      <c r="L339" s="234"/>
      <c r="M339" s="234"/>
    </row>
    <row r="340">
      <c r="I340" s="234"/>
      <c r="J340" s="234"/>
      <c r="K340" s="234"/>
      <c r="L340" s="234"/>
      <c r="M340" s="234"/>
    </row>
    <row r="341">
      <c r="I341" s="234"/>
      <c r="J341" s="234"/>
      <c r="K341" s="234"/>
      <c r="L341" s="234"/>
      <c r="M341" s="234"/>
    </row>
    <row r="342">
      <c r="I342" s="234"/>
      <c r="J342" s="234"/>
      <c r="K342" s="234"/>
      <c r="L342" s="234"/>
      <c r="M342" s="234"/>
    </row>
    <row r="343">
      <c r="I343" s="234"/>
      <c r="J343" s="234"/>
      <c r="K343" s="234"/>
      <c r="L343" s="234"/>
      <c r="M343" s="234"/>
    </row>
    <row r="344">
      <c r="I344" s="234"/>
      <c r="J344" s="234"/>
      <c r="K344" s="234"/>
      <c r="L344" s="234"/>
      <c r="M344" s="234"/>
    </row>
    <row r="345">
      <c r="I345" s="234"/>
      <c r="J345" s="234"/>
      <c r="K345" s="234"/>
      <c r="L345" s="234"/>
      <c r="M345" s="234"/>
    </row>
    <row r="346">
      <c r="I346" s="234"/>
      <c r="J346" s="234"/>
      <c r="K346" s="234"/>
      <c r="L346" s="234"/>
      <c r="M346" s="234"/>
    </row>
    <row r="347">
      <c r="I347" s="234"/>
      <c r="J347" s="234"/>
      <c r="K347" s="234"/>
      <c r="L347" s="234"/>
      <c r="M347" s="234"/>
    </row>
    <row r="348">
      <c r="I348" s="234"/>
      <c r="J348" s="234"/>
      <c r="K348" s="234"/>
      <c r="L348" s="234"/>
      <c r="M348" s="234"/>
    </row>
    <row r="349">
      <c r="I349" s="234"/>
      <c r="J349" s="234"/>
      <c r="K349" s="234"/>
      <c r="L349" s="234"/>
      <c r="M349" s="234"/>
    </row>
    <row r="350">
      <c r="I350" s="234"/>
      <c r="J350" s="234"/>
      <c r="K350" s="234"/>
      <c r="L350" s="234"/>
      <c r="M350" s="234"/>
    </row>
    <row r="351">
      <c r="I351" s="234"/>
      <c r="J351" s="234"/>
      <c r="K351" s="234"/>
      <c r="L351" s="234"/>
      <c r="M351" s="234"/>
    </row>
    <row r="352">
      <c r="I352" s="234"/>
      <c r="J352" s="234"/>
      <c r="K352" s="234"/>
      <c r="L352" s="234"/>
      <c r="M352" s="234"/>
    </row>
    <row r="353">
      <c r="I353" s="234"/>
      <c r="J353" s="234"/>
      <c r="K353" s="234"/>
      <c r="L353" s="234"/>
      <c r="M353" s="234"/>
    </row>
    <row r="354">
      <c r="I354" s="234"/>
      <c r="J354" s="234"/>
      <c r="K354" s="234"/>
      <c r="L354" s="234"/>
      <c r="M354" s="234"/>
    </row>
    <row r="355">
      <c r="I355" s="234"/>
      <c r="J355" s="234"/>
      <c r="K355" s="234"/>
      <c r="L355" s="234"/>
      <c r="M355" s="234"/>
    </row>
    <row r="356">
      <c r="I356" s="234"/>
      <c r="J356" s="234"/>
      <c r="K356" s="234"/>
      <c r="L356" s="234"/>
      <c r="M356" s="234"/>
    </row>
    <row r="357">
      <c r="I357" s="234"/>
      <c r="J357" s="234"/>
      <c r="K357" s="234"/>
      <c r="L357" s="234"/>
      <c r="M357" s="234"/>
    </row>
    <row r="358">
      <c r="I358" s="234"/>
      <c r="J358" s="234"/>
      <c r="K358" s="234"/>
      <c r="L358" s="234"/>
      <c r="M358" s="234"/>
    </row>
    <row r="359">
      <c r="I359" s="234"/>
      <c r="J359" s="234"/>
      <c r="K359" s="234"/>
      <c r="L359" s="234"/>
      <c r="M359" s="234"/>
    </row>
    <row r="360">
      <c r="I360" s="234"/>
      <c r="J360" s="234"/>
      <c r="K360" s="234"/>
      <c r="L360" s="234"/>
      <c r="M360" s="234"/>
    </row>
    <row r="361">
      <c r="I361" s="234"/>
      <c r="J361" s="234"/>
      <c r="K361" s="234"/>
      <c r="L361" s="234"/>
      <c r="M361" s="234"/>
    </row>
    <row r="362">
      <c r="I362" s="234"/>
      <c r="J362" s="234"/>
      <c r="K362" s="234"/>
      <c r="L362" s="234"/>
      <c r="M362" s="234"/>
    </row>
    <row r="363">
      <c r="I363" s="234"/>
      <c r="J363" s="234"/>
      <c r="K363" s="234"/>
      <c r="L363" s="234"/>
      <c r="M363" s="234"/>
    </row>
    <row r="364">
      <c r="I364" s="234"/>
      <c r="J364" s="234"/>
      <c r="K364" s="234"/>
      <c r="L364" s="234"/>
      <c r="M364" s="234"/>
    </row>
    <row r="365">
      <c r="I365" s="234"/>
      <c r="J365" s="234"/>
      <c r="K365" s="234"/>
      <c r="L365" s="234"/>
      <c r="M365" s="234"/>
    </row>
    <row r="366">
      <c r="I366" s="234"/>
      <c r="J366" s="234"/>
      <c r="K366" s="234"/>
      <c r="L366" s="234"/>
      <c r="M366" s="234"/>
    </row>
    <row r="367">
      <c r="I367" s="234"/>
      <c r="J367" s="234"/>
      <c r="K367" s="234"/>
      <c r="L367" s="234"/>
      <c r="M367" s="234"/>
    </row>
    <row r="368">
      <c r="I368" s="234"/>
      <c r="J368" s="234"/>
      <c r="K368" s="234"/>
      <c r="L368" s="234"/>
      <c r="M368" s="234"/>
    </row>
    <row r="369">
      <c r="I369" s="234"/>
      <c r="J369" s="234"/>
      <c r="K369" s="234"/>
      <c r="L369" s="234"/>
      <c r="M369" s="234"/>
    </row>
    <row r="370">
      <c r="I370" s="234"/>
      <c r="J370" s="234"/>
      <c r="K370" s="234"/>
      <c r="L370" s="234"/>
      <c r="M370" s="234"/>
    </row>
    <row r="371">
      <c r="I371" s="234"/>
      <c r="J371" s="234"/>
      <c r="K371" s="234"/>
      <c r="L371" s="234"/>
      <c r="M371" s="234"/>
    </row>
    <row r="372">
      <c r="I372" s="234"/>
      <c r="J372" s="234"/>
      <c r="K372" s="234"/>
      <c r="L372" s="234"/>
      <c r="M372" s="234"/>
    </row>
    <row r="373">
      <c r="I373" s="234"/>
      <c r="J373" s="234"/>
      <c r="K373" s="234"/>
      <c r="L373" s="234"/>
      <c r="M373" s="234"/>
    </row>
    <row r="374">
      <c r="I374" s="234"/>
      <c r="J374" s="234"/>
      <c r="K374" s="234"/>
      <c r="L374" s="234"/>
      <c r="M374" s="234"/>
    </row>
    <row r="375">
      <c r="I375" s="234"/>
      <c r="J375" s="234"/>
      <c r="K375" s="234"/>
      <c r="L375" s="234"/>
      <c r="M375" s="234"/>
    </row>
    <row r="376">
      <c r="I376" s="234"/>
      <c r="J376" s="234"/>
      <c r="K376" s="234"/>
      <c r="L376" s="234"/>
      <c r="M376" s="234"/>
    </row>
    <row r="377">
      <c r="I377" s="234"/>
      <c r="J377" s="234"/>
      <c r="K377" s="234"/>
      <c r="L377" s="234"/>
      <c r="M377" s="234"/>
    </row>
    <row r="378">
      <c r="I378" s="234"/>
      <c r="J378" s="234"/>
      <c r="K378" s="234"/>
      <c r="L378" s="234"/>
      <c r="M378" s="234"/>
    </row>
    <row r="379">
      <c r="I379" s="234"/>
      <c r="J379" s="234"/>
      <c r="K379" s="234"/>
      <c r="L379" s="234"/>
      <c r="M379" s="234"/>
    </row>
    <row r="380">
      <c r="I380" s="234"/>
      <c r="J380" s="234"/>
      <c r="K380" s="234"/>
      <c r="L380" s="234"/>
      <c r="M380" s="234"/>
    </row>
    <row r="381">
      <c r="I381" s="234"/>
      <c r="J381" s="234"/>
      <c r="K381" s="234"/>
      <c r="L381" s="234"/>
      <c r="M381" s="234"/>
    </row>
    <row r="382">
      <c r="I382" s="234"/>
      <c r="J382" s="234"/>
      <c r="K382" s="234"/>
      <c r="L382" s="234"/>
      <c r="M382" s="234"/>
    </row>
    <row r="383">
      <c r="I383" s="234"/>
      <c r="J383" s="234"/>
      <c r="K383" s="234"/>
      <c r="L383" s="234"/>
      <c r="M383" s="234"/>
    </row>
    <row r="384">
      <c r="I384" s="234"/>
      <c r="J384" s="234"/>
      <c r="K384" s="234"/>
      <c r="L384" s="234"/>
      <c r="M384" s="234"/>
    </row>
    <row r="385">
      <c r="I385" s="234"/>
      <c r="J385" s="234"/>
      <c r="K385" s="234"/>
      <c r="L385" s="234"/>
      <c r="M385" s="234"/>
    </row>
    <row r="386">
      <c r="I386" s="234"/>
      <c r="J386" s="234"/>
      <c r="K386" s="234"/>
      <c r="L386" s="234"/>
      <c r="M386" s="234"/>
    </row>
    <row r="387">
      <c r="I387" s="234"/>
      <c r="J387" s="234"/>
      <c r="K387" s="234"/>
      <c r="L387" s="234"/>
      <c r="M387" s="234"/>
    </row>
    <row r="388">
      <c r="I388" s="234"/>
      <c r="J388" s="234"/>
      <c r="K388" s="234"/>
      <c r="L388" s="234"/>
      <c r="M388" s="234"/>
    </row>
    <row r="389">
      <c r="I389" s="234"/>
      <c r="J389" s="234"/>
      <c r="K389" s="234"/>
      <c r="L389" s="234"/>
      <c r="M389" s="234"/>
    </row>
    <row r="390">
      <c r="I390" s="234"/>
      <c r="J390" s="234"/>
      <c r="K390" s="234"/>
      <c r="L390" s="234"/>
      <c r="M390" s="234"/>
    </row>
    <row r="391">
      <c r="I391" s="234"/>
      <c r="J391" s="234"/>
      <c r="K391" s="234"/>
      <c r="L391" s="234"/>
      <c r="M391" s="234"/>
    </row>
    <row r="392">
      <c r="I392" s="234"/>
      <c r="J392" s="234"/>
      <c r="K392" s="234"/>
      <c r="L392" s="234"/>
      <c r="M392" s="234"/>
    </row>
    <row r="393">
      <c r="I393" s="234"/>
      <c r="J393" s="234"/>
      <c r="K393" s="234"/>
      <c r="L393" s="234"/>
      <c r="M393" s="234"/>
    </row>
    <row r="394">
      <c r="I394" s="234"/>
      <c r="J394" s="234"/>
      <c r="K394" s="234"/>
      <c r="L394" s="234"/>
      <c r="M394" s="234"/>
    </row>
    <row r="395">
      <c r="I395" s="234"/>
      <c r="J395" s="234"/>
      <c r="K395" s="234"/>
      <c r="L395" s="234"/>
      <c r="M395" s="234"/>
    </row>
    <row r="396">
      <c r="I396" s="234"/>
      <c r="J396" s="234"/>
      <c r="K396" s="234"/>
      <c r="L396" s="234"/>
      <c r="M396" s="234"/>
    </row>
    <row r="397">
      <c r="I397" s="234"/>
      <c r="J397" s="234"/>
      <c r="K397" s="234"/>
      <c r="L397" s="234"/>
      <c r="M397" s="234"/>
    </row>
    <row r="398">
      <c r="I398" s="234"/>
      <c r="J398" s="234"/>
      <c r="K398" s="234"/>
      <c r="L398" s="234"/>
      <c r="M398" s="234"/>
    </row>
    <row r="399">
      <c r="I399" s="234"/>
      <c r="J399" s="234"/>
      <c r="K399" s="234"/>
      <c r="L399" s="234"/>
      <c r="M399" s="234"/>
    </row>
    <row r="400">
      <c r="I400" s="234"/>
      <c r="J400" s="234"/>
      <c r="K400" s="234"/>
      <c r="L400" s="234"/>
      <c r="M400" s="234"/>
    </row>
    <row r="401">
      <c r="I401" s="234"/>
      <c r="J401" s="234"/>
      <c r="K401" s="234"/>
      <c r="L401" s="234"/>
      <c r="M401" s="234"/>
    </row>
    <row r="402">
      <c r="I402" s="234"/>
      <c r="J402" s="234"/>
      <c r="K402" s="234"/>
      <c r="L402" s="234"/>
      <c r="M402" s="234"/>
    </row>
    <row r="403">
      <c r="I403" s="234"/>
      <c r="J403" s="234"/>
      <c r="K403" s="234"/>
      <c r="L403" s="234"/>
      <c r="M403" s="234"/>
    </row>
    <row r="404">
      <c r="I404" s="234"/>
      <c r="J404" s="234"/>
      <c r="K404" s="234"/>
      <c r="L404" s="234"/>
      <c r="M404" s="234"/>
    </row>
    <row r="405">
      <c r="I405" s="234"/>
      <c r="J405" s="234"/>
      <c r="K405" s="234"/>
      <c r="L405" s="234"/>
      <c r="M405" s="234"/>
    </row>
    <row r="406">
      <c r="I406" s="234"/>
      <c r="J406" s="234"/>
      <c r="K406" s="234"/>
      <c r="L406" s="234"/>
      <c r="M406" s="234"/>
    </row>
    <row r="407">
      <c r="I407" s="234"/>
      <c r="J407" s="234"/>
      <c r="K407" s="234"/>
      <c r="L407" s="234"/>
      <c r="M407" s="234"/>
    </row>
    <row r="408">
      <c r="I408" s="234"/>
      <c r="J408" s="234"/>
      <c r="K408" s="234"/>
      <c r="L408" s="234"/>
      <c r="M408" s="234"/>
    </row>
    <row r="409">
      <c r="I409" s="234"/>
      <c r="J409" s="234"/>
      <c r="K409" s="234"/>
      <c r="L409" s="234"/>
      <c r="M409" s="234"/>
    </row>
    <row r="410">
      <c r="I410" s="234"/>
      <c r="J410" s="234"/>
      <c r="K410" s="234"/>
      <c r="L410" s="234"/>
      <c r="M410" s="234"/>
    </row>
    <row r="411">
      <c r="I411" s="234"/>
      <c r="J411" s="234"/>
      <c r="K411" s="234"/>
      <c r="L411" s="234"/>
      <c r="M411" s="234"/>
    </row>
    <row r="412">
      <c r="I412" s="234"/>
      <c r="J412" s="234"/>
      <c r="K412" s="234"/>
      <c r="L412" s="234"/>
      <c r="M412" s="234"/>
    </row>
    <row r="413">
      <c r="I413" s="234"/>
      <c r="J413" s="234"/>
      <c r="K413" s="234"/>
      <c r="L413" s="234"/>
      <c r="M413" s="234"/>
    </row>
    <row r="414">
      <c r="I414" s="234"/>
      <c r="J414" s="234"/>
      <c r="K414" s="234"/>
      <c r="L414" s="234"/>
      <c r="M414" s="234"/>
    </row>
    <row r="415">
      <c r="I415" s="234"/>
      <c r="J415" s="234"/>
      <c r="K415" s="234"/>
      <c r="L415" s="234"/>
      <c r="M415" s="234"/>
    </row>
    <row r="416">
      <c r="I416" s="234"/>
      <c r="J416" s="234"/>
      <c r="K416" s="234"/>
      <c r="L416" s="234"/>
      <c r="M416" s="234"/>
    </row>
    <row r="417">
      <c r="I417" s="234"/>
      <c r="J417" s="234"/>
      <c r="K417" s="234"/>
      <c r="L417" s="234"/>
      <c r="M417" s="234"/>
    </row>
    <row r="418">
      <c r="I418" s="234"/>
      <c r="J418" s="234"/>
      <c r="K418" s="234"/>
      <c r="L418" s="234"/>
      <c r="M418" s="234"/>
    </row>
    <row r="419">
      <c r="I419" s="234"/>
      <c r="J419" s="234"/>
      <c r="K419" s="234"/>
      <c r="L419" s="234"/>
      <c r="M419" s="234"/>
    </row>
    <row r="420">
      <c r="I420" s="234"/>
      <c r="J420" s="234"/>
      <c r="K420" s="234"/>
      <c r="L420" s="234"/>
      <c r="M420" s="234"/>
    </row>
    <row r="421">
      <c r="I421" s="234"/>
      <c r="J421" s="234"/>
      <c r="K421" s="234"/>
      <c r="L421" s="234"/>
      <c r="M421" s="234"/>
    </row>
    <row r="422">
      <c r="I422" s="234"/>
      <c r="J422" s="234"/>
      <c r="K422" s="234"/>
      <c r="L422" s="234"/>
      <c r="M422" s="234"/>
    </row>
    <row r="423">
      <c r="I423" s="234"/>
      <c r="J423" s="234"/>
      <c r="K423" s="234"/>
      <c r="L423" s="234"/>
      <c r="M423" s="234"/>
    </row>
    <row r="424">
      <c r="I424" s="234"/>
      <c r="J424" s="234"/>
      <c r="K424" s="234"/>
      <c r="L424" s="234"/>
      <c r="M424" s="234"/>
    </row>
    <row r="425">
      <c r="I425" s="234"/>
      <c r="J425" s="234"/>
      <c r="K425" s="234"/>
      <c r="L425" s="234"/>
      <c r="M425" s="234"/>
    </row>
    <row r="426">
      <c r="I426" s="234"/>
      <c r="J426" s="234"/>
      <c r="K426" s="234"/>
      <c r="L426" s="234"/>
      <c r="M426" s="234"/>
    </row>
    <row r="427">
      <c r="I427" s="234"/>
      <c r="J427" s="234"/>
      <c r="K427" s="234"/>
      <c r="L427" s="234"/>
      <c r="M427" s="234"/>
    </row>
    <row r="428">
      <c r="I428" s="234"/>
      <c r="J428" s="234"/>
      <c r="K428" s="234"/>
      <c r="L428" s="234"/>
      <c r="M428" s="234"/>
    </row>
    <row r="429">
      <c r="I429" s="234"/>
      <c r="J429" s="234"/>
      <c r="K429" s="234"/>
      <c r="L429" s="234"/>
      <c r="M429" s="234"/>
    </row>
    <row r="430">
      <c r="I430" s="234"/>
      <c r="J430" s="234"/>
      <c r="K430" s="234"/>
      <c r="L430" s="234"/>
      <c r="M430" s="234"/>
    </row>
    <row r="431">
      <c r="I431" s="234"/>
      <c r="J431" s="234"/>
      <c r="K431" s="234"/>
      <c r="L431" s="234"/>
      <c r="M431" s="234"/>
    </row>
    <row r="432">
      <c r="I432" s="234"/>
      <c r="J432" s="234"/>
      <c r="K432" s="234"/>
      <c r="L432" s="234"/>
      <c r="M432" s="234"/>
    </row>
    <row r="433">
      <c r="I433" s="234"/>
      <c r="J433" s="234"/>
      <c r="K433" s="234"/>
      <c r="L433" s="234"/>
      <c r="M433" s="234"/>
    </row>
    <row r="434">
      <c r="I434" s="234"/>
      <c r="J434" s="234"/>
      <c r="K434" s="234"/>
      <c r="L434" s="234"/>
      <c r="M434" s="234"/>
    </row>
    <row r="435">
      <c r="I435" s="234"/>
      <c r="J435" s="234"/>
      <c r="K435" s="234"/>
      <c r="L435" s="234"/>
      <c r="M435" s="234"/>
    </row>
    <row r="436">
      <c r="I436" s="234"/>
      <c r="J436" s="234"/>
      <c r="K436" s="234"/>
      <c r="L436" s="234"/>
      <c r="M436" s="234"/>
    </row>
    <row r="437">
      <c r="I437" s="234"/>
      <c r="J437" s="234"/>
      <c r="K437" s="234"/>
      <c r="L437" s="234"/>
      <c r="M437" s="234"/>
    </row>
    <row r="438">
      <c r="I438" s="234"/>
      <c r="J438" s="234"/>
      <c r="K438" s="234"/>
      <c r="L438" s="234"/>
      <c r="M438" s="234"/>
    </row>
    <row r="439">
      <c r="I439" s="234"/>
      <c r="J439" s="234"/>
      <c r="K439" s="234"/>
      <c r="L439" s="234"/>
      <c r="M439" s="234"/>
    </row>
    <row r="440">
      <c r="I440" s="234"/>
      <c r="J440" s="234"/>
      <c r="K440" s="234"/>
      <c r="L440" s="234"/>
      <c r="M440" s="234"/>
    </row>
    <row r="441">
      <c r="I441" s="234"/>
      <c r="J441" s="234"/>
      <c r="K441" s="234"/>
      <c r="L441" s="234"/>
      <c r="M441" s="234"/>
    </row>
    <row r="442">
      <c r="I442" s="234"/>
      <c r="J442" s="234"/>
      <c r="K442" s="234"/>
      <c r="L442" s="234"/>
      <c r="M442" s="234"/>
    </row>
    <row r="443">
      <c r="I443" s="234"/>
      <c r="J443" s="234"/>
      <c r="K443" s="234"/>
      <c r="L443" s="234"/>
      <c r="M443" s="234"/>
    </row>
    <row r="444">
      <c r="I444" s="234"/>
      <c r="J444" s="234"/>
      <c r="K444" s="234"/>
      <c r="L444" s="234"/>
      <c r="M444" s="234"/>
    </row>
    <row r="445">
      <c r="I445" s="234"/>
      <c r="J445" s="234"/>
      <c r="K445" s="234"/>
      <c r="L445" s="234"/>
      <c r="M445" s="234"/>
    </row>
    <row r="446">
      <c r="I446" s="234"/>
      <c r="J446" s="234"/>
      <c r="K446" s="234"/>
      <c r="L446" s="234"/>
      <c r="M446" s="234"/>
    </row>
    <row r="447">
      <c r="I447" s="234"/>
      <c r="J447" s="234"/>
      <c r="K447" s="234"/>
      <c r="L447" s="234"/>
      <c r="M447" s="234"/>
    </row>
    <row r="448">
      <c r="I448" s="234"/>
      <c r="J448" s="234"/>
      <c r="K448" s="234"/>
      <c r="L448" s="234"/>
      <c r="M448" s="234"/>
    </row>
    <row r="449">
      <c r="I449" s="234"/>
      <c r="J449" s="234"/>
      <c r="K449" s="234"/>
      <c r="L449" s="234"/>
      <c r="M449" s="234"/>
    </row>
    <row r="450">
      <c r="I450" s="234"/>
      <c r="J450" s="234"/>
      <c r="K450" s="234"/>
      <c r="L450" s="234"/>
      <c r="M450" s="234"/>
    </row>
    <row r="451">
      <c r="I451" s="234"/>
      <c r="J451" s="234"/>
      <c r="K451" s="234"/>
      <c r="L451" s="234"/>
      <c r="M451" s="234"/>
    </row>
    <row r="452">
      <c r="I452" s="234"/>
      <c r="J452" s="234"/>
      <c r="K452" s="234"/>
      <c r="L452" s="234"/>
      <c r="M452" s="234"/>
    </row>
    <row r="453">
      <c r="I453" s="234"/>
      <c r="J453" s="234"/>
      <c r="K453" s="234"/>
      <c r="L453" s="234"/>
      <c r="M453" s="234"/>
    </row>
    <row r="454">
      <c r="I454" s="234"/>
      <c r="J454" s="234"/>
      <c r="K454" s="234"/>
      <c r="L454" s="234"/>
      <c r="M454" s="234"/>
    </row>
    <row r="455">
      <c r="I455" s="234"/>
      <c r="J455" s="234"/>
      <c r="K455" s="234"/>
      <c r="L455" s="234"/>
      <c r="M455" s="234"/>
    </row>
    <row r="456">
      <c r="I456" s="234"/>
      <c r="J456" s="234"/>
      <c r="K456" s="234"/>
      <c r="L456" s="234"/>
      <c r="M456" s="234"/>
    </row>
    <row r="457">
      <c r="I457" s="234"/>
      <c r="J457" s="234"/>
      <c r="K457" s="234"/>
      <c r="L457" s="234"/>
      <c r="M457" s="234"/>
    </row>
    <row r="458">
      <c r="I458" s="234"/>
      <c r="J458" s="234"/>
      <c r="K458" s="234"/>
      <c r="L458" s="234"/>
      <c r="M458" s="234"/>
    </row>
    <row r="459">
      <c r="I459" s="234"/>
      <c r="J459" s="234"/>
      <c r="K459" s="234"/>
      <c r="L459" s="234"/>
      <c r="M459" s="234"/>
    </row>
    <row r="460">
      <c r="I460" s="234"/>
      <c r="J460" s="234"/>
      <c r="K460" s="234"/>
      <c r="L460" s="234"/>
      <c r="M460" s="234"/>
    </row>
    <row r="461">
      <c r="I461" s="234"/>
      <c r="J461" s="234"/>
      <c r="K461" s="234"/>
      <c r="L461" s="234"/>
      <c r="M461" s="234"/>
    </row>
    <row r="462">
      <c r="I462" s="234"/>
      <c r="J462" s="234"/>
      <c r="K462" s="234"/>
      <c r="L462" s="234"/>
      <c r="M462" s="234"/>
    </row>
    <row r="463">
      <c r="I463" s="234"/>
      <c r="J463" s="234"/>
      <c r="K463" s="234"/>
      <c r="L463" s="234"/>
      <c r="M463" s="234"/>
    </row>
    <row r="464">
      <c r="I464" s="234"/>
      <c r="J464" s="234"/>
      <c r="K464" s="234"/>
      <c r="L464" s="234"/>
      <c r="M464" s="234"/>
    </row>
    <row r="465">
      <c r="I465" s="234"/>
      <c r="J465" s="234"/>
      <c r="K465" s="234"/>
      <c r="L465" s="234"/>
      <c r="M465" s="234"/>
    </row>
    <row r="466">
      <c r="I466" s="234"/>
      <c r="J466" s="234"/>
      <c r="K466" s="234"/>
      <c r="L466" s="234"/>
      <c r="M466" s="234"/>
    </row>
    <row r="467">
      <c r="I467" s="234"/>
      <c r="J467" s="234"/>
      <c r="K467" s="234"/>
      <c r="L467" s="234"/>
      <c r="M467" s="234"/>
    </row>
    <row r="468">
      <c r="I468" s="234"/>
      <c r="J468" s="234"/>
      <c r="K468" s="234"/>
      <c r="L468" s="234"/>
      <c r="M468" s="234"/>
    </row>
    <row r="469">
      <c r="I469" s="234"/>
      <c r="J469" s="234"/>
      <c r="K469" s="234"/>
      <c r="L469" s="234"/>
      <c r="M469" s="234"/>
    </row>
    <row r="470">
      <c r="I470" s="234"/>
      <c r="J470" s="234"/>
      <c r="K470" s="234"/>
      <c r="L470" s="234"/>
      <c r="M470" s="234"/>
    </row>
    <row r="471">
      <c r="I471" s="234"/>
      <c r="J471" s="234"/>
      <c r="K471" s="234"/>
      <c r="L471" s="234"/>
      <c r="M471" s="234"/>
    </row>
    <row r="472">
      <c r="I472" s="234"/>
      <c r="J472" s="234"/>
      <c r="K472" s="234"/>
      <c r="L472" s="234"/>
      <c r="M472" s="234"/>
    </row>
    <row r="473">
      <c r="I473" s="234"/>
      <c r="J473" s="234"/>
      <c r="K473" s="234"/>
      <c r="L473" s="234"/>
      <c r="M473" s="234"/>
    </row>
    <row r="474">
      <c r="I474" s="234"/>
      <c r="J474" s="234"/>
      <c r="K474" s="234"/>
      <c r="L474" s="234"/>
      <c r="M474" s="234"/>
    </row>
    <row r="475">
      <c r="I475" s="234"/>
      <c r="J475" s="234"/>
      <c r="K475" s="234"/>
      <c r="L475" s="234"/>
      <c r="M475" s="234"/>
    </row>
    <row r="476">
      <c r="I476" s="234"/>
      <c r="J476" s="234"/>
      <c r="K476" s="234"/>
      <c r="L476" s="234"/>
      <c r="M476" s="234"/>
    </row>
    <row r="477">
      <c r="I477" s="234"/>
      <c r="J477" s="234"/>
      <c r="K477" s="234"/>
      <c r="L477" s="234"/>
      <c r="M477" s="234"/>
    </row>
    <row r="478">
      <c r="I478" s="234"/>
      <c r="J478" s="234"/>
      <c r="K478" s="234"/>
      <c r="L478" s="234"/>
      <c r="M478" s="234"/>
    </row>
    <row r="479">
      <c r="I479" s="234"/>
      <c r="J479" s="234"/>
      <c r="K479" s="234"/>
      <c r="L479" s="234"/>
      <c r="M479" s="234"/>
    </row>
    <row r="480">
      <c r="I480" s="234"/>
      <c r="J480" s="234"/>
      <c r="K480" s="234"/>
      <c r="L480" s="234"/>
      <c r="M480" s="234"/>
    </row>
    <row r="481">
      <c r="I481" s="234"/>
      <c r="J481" s="234"/>
      <c r="K481" s="234"/>
      <c r="L481" s="234"/>
      <c r="M481" s="234"/>
    </row>
    <row r="482">
      <c r="I482" s="234"/>
      <c r="J482" s="234"/>
      <c r="K482" s="234"/>
      <c r="L482" s="234"/>
      <c r="M482" s="234"/>
    </row>
    <row r="483">
      <c r="I483" s="234"/>
      <c r="J483" s="234"/>
      <c r="K483" s="234"/>
      <c r="L483" s="234"/>
      <c r="M483" s="234"/>
    </row>
    <row r="484">
      <c r="I484" s="234"/>
      <c r="J484" s="234"/>
      <c r="K484" s="234"/>
      <c r="L484" s="234"/>
      <c r="M484" s="234"/>
    </row>
    <row r="485">
      <c r="I485" s="234"/>
      <c r="J485" s="234"/>
      <c r="K485" s="234"/>
      <c r="L485" s="234"/>
      <c r="M485" s="234"/>
    </row>
    <row r="486">
      <c r="I486" s="234"/>
      <c r="J486" s="234"/>
      <c r="K486" s="234"/>
      <c r="L486" s="234"/>
      <c r="M486" s="234"/>
    </row>
    <row r="487">
      <c r="I487" s="234"/>
      <c r="J487" s="234"/>
      <c r="K487" s="234"/>
      <c r="L487" s="234"/>
      <c r="M487" s="234"/>
    </row>
    <row r="488">
      <c r="I488" s="234"/>
      <c r="J488" s="234"/>
      <c r="K488" s="234"/>
      <c r="L488" s="234"/>
      <c r="M488" s="234"/>
    </row>
    <row r="489">
      <c r="I489" s="234"/>
      <c r="J489" s="234"/>
      <c r="K489" s="234"/>
      <c r="L489" s="234"/>
      <c r="M489" s="234"/>
    </row>
    <row r="490">
      <c r="I490" s="234"/>
      <c r="J490" s="234"/>
      <c r="K490" s="234"/>
      <c r="L490" s="234"/>
      <c r="M490" s="234"/>
    </row>
    <row r="491">
      <c r="I491" s="234"/>
      <c r="J491" s="234"/>
      <c r="K491" s="234"/>
      <c r="L491" s="234"/>
      <c r="M491" s="234"/>
    </row>
    <row r="492">
      <c r="I492" s="234"/>
      <c r="J492" s="234"/>
      <c r="K492" s="234"/>
      <c r="L492" s="234"/>
      <c r="M492" s="234"/>
    </row>
    <row r="493">
      <c r="I493" s="234"/>
      <c r="J493" s="234"/>
      <c r="K493" s="234"/>
      <c r="L493" s="234"/>
      <c r="M493" s="234"/>
    </row>
    <row r="494">
      <c r="I494" s="234"/>
      <c r="J494" s="234"/>
      <c r="K494" s="234"/>
      <c r="L494" s="234"/>
      <c r="M494" s="234"/>
    </row>
    <row r="495">
      <c r="I495" s="234"/>
      <c r="J495" s="234"/>
      <c r="K495" s="234"/>
      <c r="L495" s="234"/>
      <c r="M495" s="234"/>
    </row>
    <row r="496">
      <c r="I496" s="234"/>
      <c r="J496" s="234"/>
      <c r="K496" s="234"/>
      <c r="L496" s="234"/>
      <c r="M496" s="234"/>
    </row>
    <row r="497">
      <c r="I497" s="234"/>
      <c r="J497" s="234"/>
      <c r="K497" s="234"/>
      <c r="L497" s="234"/>
      <c r="M497" s="234"/>
    </row>
    <row r="498">
      <c r="I498" s="234"/>
      <c r="J498" s="234"/>
      <c r="K498" s="234"/>
      <c r="L498" s="234"/>
      <c r="M498" s="234"/>
    </row>
    <row r="499">
      <c r="I499" s="234"/>
      <c r="J499" s="234"/>
      <c r="K499" s="234"/>
      <c r="L499" s="234"/>
      <c r="M499" s="234"/>
    </row>
    <row r="500">
      <c r="I500" s="234"/>
      <c r="J500" s="234"/>
      <c r="K500" s="234"/>
      <c r="L500" s="234"/>
      <c r="M500" s="234"/>
    </row>
    <row r="501">
      <c r="I501" s="234"/>
      <c r="J501" s="234"/>
      <c r="K501" s="234"/>
      <c r="L501" s="234"/>
      <c r="M501" s="234"/>
    </row>
    <row r="502">
      <c r="I502" s="234"/>
      <c r="J502" s="234"/>
      <c r="K502" s="234"/>
      <c r="L502" s="234"/>
      <c r="M502" s="234"/>
    </row>
    <row r="503">
      <c r="I503" s="234"/>
      <c r="J503" s="234"/>
      <c r="K503" s="234"/>
      <c r="L503" s="234"/>
      <c r="M503" s="234"/>
    </row>
    <row r="504">
      <c r="I504" s="234"/>
      <c r="J504" s="234"/>
      <c r="K504" s="234"/>
      <c r="L504" s="234"/>
      <c r="M504" s="234"/>
    </row>
    <row r="505">
      <c r="I505" s="234"/>
      <c r="J505" s="234"/>
      <c r="K505" s="234"/>
      <c r="L505" s="234"/>
      <c r="M505" s="234"/>
    </row>
    <row r="506">
      <c r="I506" s="234"/>
      <c r="J506" s="234"/>
      <c r="K506" s="234"/>
      <c r="L506" s="234"/>
      <c r="M506" s="234"/>
    </row>
    <row r="507">
      <c r="I507" s="234"/>
      <c r="J507" s="234"/>
      <c r="K507" s="234"/>
      <c r="L507" s="234"/>
      <c r="M507" s="234"/>
    </row>
    <row r="508">
      <c r="I508" s="234"/>
      <c r="J508" s="234"/>
      <c r="K508" s="234"/>
      <c r="L508" s="234"/>
      <c r="M508" s="234"/>
    </row>
    <row r="509">
      <c r="I509" s="234"/>
      <c r="J509" s="234"/>
      <c r="K509" s="234"/>
      <c r="L509" s="234"/>
      <c r="M509" s="234"/>
    </row>
    <row r="510">
      <c r="I510" s="234"/>
      <c r="J510" s="234"/>
      <c r="K510" s="234"/>
      <c r="L510" s="234"/>
      <c r="M510" s="234"/>
    </row>
    <row r="511">
      <c r="I511" s="234"/>
      <c r="J511" s="234"/>
      <c r="K511" s="234"/>
      <c r="L511" s="234"/>
      <c r="M511" s="234"/>
    </row>
    <row r="512">
      <c r="I512" s="234"/>
      <c r="J512" s="234"/>
      <c r="K512" s="234"/>
      <c r="L512" s="234"/>
      <c r="M512" s="234"/>
    </row>
    <row r="513">
      <c r="I513" s="234"/>
      <c r="J513" s="234"/>
      <c r="K513" s="234"/>
      <c r="L513" s="234"/>
      <c r="M513" s="234"/>
    </row>
    <row r="514">
      <c r="I514" s="234"/>
      <c r="J514" s="234"/>
      <c r="K514" s="234"/>
      <c r="L514" s="234"/>
      <c r="M514" s="234"/>
    </row>
    <row r="515">
      <c r="I515" s="234"/>
      <c r="J515" s="234"/>
      <c r="K515" s="234"/>
      <c r="L515" s="234"/>
      <c r="M515" s="234"/>
    </row>
    <row r="516">
      <c r="I516" s="234"/>
      <c r="J516" s="234"/>
      <c r="K516" s="234"/>
      <c r="L516" s="234"/>
      <c r="M516" s="234"/>
    </row>
    <row r="517">
      <c r="I517" s="234"/>
      <c r="J517" s="234"/>
      <c r="K517" s="234"/>
      <c r="L517" s="234"/>
      <c r="M517" s="234"/>
    </row>
    <row r="518">
      <c r="I518" s="234"/>
      <c r="J518" s="234"/>
      <c r="K518" s="234"/>
      <c r="L518" s="234"/>
      <c r="M518" s="234"/>
    </row>
    <row r="519">
      <c r="I519" s="234"/>
      <c r="J519" s="234"/>
      <c r="K519" s="234"/>
      <c r="L519" s="234"/>
      <c r="M519" s="234"/>
    </row>
    <row r="520">
      <c r="I520" s="234"/>
      <c r="J520" s="234"/>
      <c r="K520" s="234"/>
      <c r="L520" s="234"/>
      <c r="M520" s="234"/>
    </row>
    <row r="521">
      <c r="I521" s="234"/>
      <c r="J521" s="234"/>
      <c r="K521" s="234"/>
      <c r="L521" s="234"/>
      <c r="M521" s="234"/>
    </row>
    <row r="522">
      <c r="I522" s="234"/>
      <c r="J522" s="234"/>
      <c r="K522" s="234"/>
      <c r="L522" s="234"/>
      <c r="M522" s="234"/>
    </row>
    <row r="523">
      <c r="I523" s="234"/>
      <c r="J523" s="234"/>
      <c r="K523" s="234"/>
      <c r="L523" s="234"/>
      <c r="M523" s="234"/>
    </row>
    <row r="524">
      <c r="I524" s="234"/>
      <c r="J524" s="234"/>
      <c r="K524" s="234"/>
      <c r="L524" s="234"/>
      <c r="M524" s="234"/>
    </row>
    <row r="525">
      <c r="I525" s="234"/>
      <c r="J525" s="234"/>
      <c r="K525" s="234"/>
      <c r="L525" s="234"/>
      <c r="M525" s="234"/>
    </row>
    <row r="526">
      <c r="I526" s="234"/>
      <c r="J526" s="234"/>
      <c r="K526" s="234"/>
      <c r="L526" s="234"/>
      <c r="M526" s="234"/>
    </row>
    <row r="527">
      <c r="I527" s="234"/>
      <c r="J527" s="234"/>
      <c r="K527" s="234"/>
      <c r="L527" s="234"/>
      <c r="M527" s="234"/>
    </row>
    <row r="528">
      <c r="I528" s="234"/>
      <c r="J528" s="234"/>
      <c r="K528" s="234"/>
      <c r="L528" s="234"/>
      <c r="M528" s="234"/>
    </row>
    <row r="529">
      <c r="I529" s="234"/>
      <c r="J529" s="234"/>
      <c r="K529" s="234"/>
      <c r="L529" s="234"/>
      <c r="M529" s="234"/>
    </row>
    <row r="530">
      <c r="I530" s="234"/>
      <c r="J530" s="234"/>
      <c r="K530" s="234"/>
      <c r="L530" s="234"/>
      <c r="M530" s="234"/>
    </row>
    <row r="531">
      <c r="I531" s="234"/>
      <c r="J531" s="234"/>
      <c r="K531" s="234"/>
      <c r="L531" s="234"/>
      <c r="M531" s="234"/>
    </row>
    <row r="532">
      <c r="I532" s="234"/>
      <c r="J532" s="234"/>
      <c r="K532" s="234"/>
      <c r="L532" s="234"/>
      <c r="M532" s="234"/>
    </row>
    <row r="533">
      <c r="I533" s="234"/>
      <c r="J533" s="234"/>
      <c r="K533" s="234"/>
      <c r="L533" s="234"/>
      <c r="M533" s="234"/>
    </row>
    <row r="534">
      <c r="I534" s="234"/>
      <c r="J534" s="234"/>
      <c r="K534" s="234"/>
      <c r="L534" s="234"/>
      <c r="M534" s="234"/>
    </row>
    <row r="535">
      <c r="I535" s="234"/>
      <c r="J535" s="234"/>
      <c r="K535" s="234"/>
      <c r="L535" s="234"/>
      <c r="M535" s="234"/>
    </row>
    <row r="536">
      <c r="I536" s="234"/>
      <c r="J536" s="234"/>
      <c r="K536" s="234"/>
      <c r="L536" s="234"/>
      <c r="M536" s="234"/>
    </row>
    <row r="537">
      <c r="I537" s="234"/>
      <c r="J537" s="234"/>
      <c r="K537" s="234"/>
      <c r="L537" s="234"/>
      <c r="M537" s="234"/>
    </row>
    <row r="538">
      <c r="I538" s="234"/>
      <c r="J538" s="234"/>
      <c r="K538" s="234"/>
      <c r="L538" s="234"/>
      <c r="M538" s="234"/>
    </row>
    <row r="539">
      <c r="I539" s="234"/>
      <c r="J539" s="234"/>
      <c r="K539" s="234"/>
      <c r="L539" s="234"/>
      <c r="M539" s="234"/>
    </row>
    <row r="540">
      <c r="I540" s="234"/>
      <c r="J540" s="234"/>
      <c r="K540" s="234"/>
      <c r="L540" s="234"/>
      <c r="M540" s="234"/>
    </row>
    <row r="541">
      <c r="I541" s="234"/>
      <c r="J541" s="234"/>
      <c r="K541" s="234"/>
      <c r="L541" s="234"/>
      <c r="M541" s="234"/>
    </row>
    <row r="542">
      <c r="I542" s="234"/>
      <c r="J542" s="234"/>
      <c r="K542" s="234"/>
      <c r="L542" s="234"/>
      <c r="M542" s="234"/>
    </row>
    <row r="543">
      <c r="I543" s="234"/>
      <c r="J543" s="234"/>
      <c r="K543" s="234"/>
      <c r="L543" s="234"/>
      <c r="M543" s="234"/>
    </row>
    <row r="544">
      <c r="I544" s="234"/>
      <c r="J544" s="234"/>
      <c r="K544" s="234"/>
      <c r="L544" s="234"/>
      <c r="M544" s="234"/>
    </row>
    <row r="545">
      <c r="I545" s="234"/>
      <c r="J545" s="234"/>
      <c r="K545" s="234"/>
      <c r="L545" s="234"/>
      <c r="M545" s="234"/>
    </row>
    <row r="546">
      <c r="I546" s="234"/>
      <c r="J546" s="234"/>
      <c r="K546" s="234"/>
      <c r="L546" s="234"/>
      <c r="M546" s="234"/>
    </row>
    <row r="547">
      <c r="I547" s="234"/>
      <c r="J547" s="234"/>
      <c r="K547" s="234"/>
      <c r="L547" s="234"/>
      <c r="M547" s="234"/>
    </row>
    <row r="548">
      <c r="I548" s="234"/>
      <c r="J548" s="234"/>
      <c r="K548" s="234"/>
      <c r="L548" s="234"/>
      <c r="M548" s="234"/>
    </row>
    <row r="549">
      <c r="I549" s="234"/>
      <c r="J549" s="234"/>
      <c r="K549" s="234"/>
      <c r="L549" s="234"/>
      <c r="M549" s="234"/>
    </row>
    <row r="550">
      <c r="I550" s="234"/>
      <c r="J550" s="234"/>
      <c r="K550" s="234"/>
      <c r="L550" s="234"/>
      <c r="M550" s="234"/>
    </row>
    <row r="551">
      <c r="I551" s="234"/>
      <c r="J551" s="234"/>
      <c r="K551" s="234"/>
      <c r="L551" s="234"/>
      <c r="M551" s="234"/>
    </row>
    <row r="552">
      <c r="I552" s="234"/>
      <c r="J552" s="234"/>
      <c r="K552" s="234"/>
      <c r="L552" s="234"/>
      <c r="M552" s="234"/>
    </row>
    <row r="553">
      <c r="I553" s="234"/>
      <c r="J553" s="234"/>
      <c r="K553" s="234"/>
      <c r="L553" s="234"/>
      <c r="M553" s="234"/>
    </row>
    <row r="554">
      <c r="I554" s="234"/>
      <c r="J554" s="234"/>
      <c r="K554" s="234"/>
      <c r="L554" s="234"/>
      <c r="M554" s="234"/>
    </row>
    <row r="555">
      <c r="I555" s="234"/>
      <c r="J555" s="234"/>
      <c r="K555" s="234"/>
      <c r="L555" s="234"/>
      <c r="M555" s="234"/>
    </row>
    <row r="556">
      <c r="I556" s="234"/>
      <c r="J556" s="234"/>
      <c r="K556" s="234"/>
      <c r="L556" s="234"/>
      <c r="M556" s="234"/>
    </row>
    <row r="557">
      <c r="I557" s="234"/>
      <c r="J557" s="234"/>
      <c r="K557" s="234"/>
      <c r="L557" s="234"/>
      <c r="M557" s="234"/>
    </row>
    <row r="558">
      <c r="I558" s="234"/>
      <c r="J558" s="234"/>
      <c r="K558" s="234"/>
      <c r="L558" s="234"/>
      <c r="M558" s="234"/>
    </row>
    <row r="559">
      <c r="I559" s="234"/>
      <c r="J559" s="234"/>
      <c r="K559" s="234"/>
      <c r="L559" s="234"/>
      <c r="M559" s="234"/>
    </row>
    <row r="560">
      <c r="I560" s="234"/>
      <c r="J560" s="234"/>
      <c r="K560" s="234"/>
      <c r="L560" s="234"/>
      <c r="M560" s="234"/>
    </row>
    <row r="561">
      <c r="I561" s="234"/>
      <c r="J561" s="234"/>
      <c r="K561" s="234"/>
      <c r="L561" s="234"/>
      <c r="M561" s="234"/>
    </row>
    <row r="562">
      <c r="I562" s="234"/>
      <c r="J562" s="234"/>
      <c r="K562" s="234"/>
      <c r="L562" s="234"/>
      <c r="M562" s="234"/>
    </row>
    <row r="563">
      <c r="I563" s="234"/>
      <c r="J563" s="234"/>
      <c r="K563" s="234"/>
      <c r="L563" s="234"/>
      <c r="M563" s="234"/>
    </row>
    <row r="564">
      <c r="I564" s="234"/>
      <c r="J564" s="234"/>
      <c r="K564" s="234"/>
      <c r="L564" s="234"/>
      <c r="M564" s="234"/>
    </row>
    <row r="565">
      <c r="I565" s="234"/>
      <c r="J565" s="234"/>
      <c r="K565" s="234"/>
      <c r="L565" s="234"/>
      <c r="M565" s="234"/>
    </row>
    <row r="566">
      <c r="I566" s="234"/>
      <c r="J566" s="234"/>
      <c r="K566" s="234"/>
      <c r="L566" s="234"/>
      <c r="M566" s="234"/>
    </row>
    <row r="567">
      <c r="I567" s="234"/>
      <c r="J567" s="234"/>
      <c r="K567" s="234"/>
      <c r="L567" s="234"/>
      <c r="M567" s="234"/>
    </row>
    <row r="568">
      <c r="I568" s="234"/>
      <c r="J568" s="234"/>
      <c r="K568" s="234"/>
      <c r="L568" s="234"/>
      <c r="M568" s="234"/>
    </row>
    <row r="569">
      <c r="I569" s="234"/>
      <c r="J569" s="234"/>
      <c r="K569" s="234"/>
      <c r="L569" s="234"/>
      <c r="M569" s="234"/>
    </row>
    <row r="570">
      <c r="I570" s="234"/>
      <c r="J570" s="234"/>
      <c r="K570" s="234"/>
      <c r="L570" s="234"/>
      <c r="M570" s="234"/>
    </row>
    <row r="571">
      <c r="I571" s="234"/>
      <c r="J571" s="234"/>
      <c r="K571" s="234"/>
      <c r="L571" s="234"/>
      <c r="M571" s="234"/>
    </row>
    <row r="572">
      <c r="I572" s="234"/>
      <c r="J572" s="234"/>
      <c r="K572" s="234"/>
      <c r="L572" s="234"/>
      <c r="M572" s="234"/>
    </row>
    <row r="573">
      <c r="I573" s="234"/>
      <c r="J573" s="234"/>
      <c r="K573" s="234"/>
      <c r="L573" s="234"/>
      <c r="M573" s="234"/>
    </row>
    <row r="574">
      <c r="I574" s="234"/>
      <c r="J574" s="234"/>
      <c r="K574" s="234"/>
      <c r="L574" s="234"/>
      <c r="M574" s="234"/>
    </row>
    <row r="575">
      <c r="I575" s="234"/>
      <c r="J575" s="234"/>
      <c r="K575" s="234"/>
      <c r="L575" s="234"/>
      <c r="M575" s="234"/>
    </row>
    <row r="576">
      <c r="I576" s="234"/>
      <c r="J576" s="234"/>
      <c r="K576" s="234"/>
      <c r="L576" s="234"/>
      <c r="M576" s="234"/>
    </row>
    <row r="577">
      <c r="I577" s="234"/>
      <c r="J577" s="234"/>
      <c r="K577" s="234"/>
      <c r="L577" s="234"/>
      <c r="M577" s="234"/>
    </row>
    <row r="578">
      <c r="I578" s="234"/>
      <c r="J578" s="234"/>
      <c r="K578" s="234"/>
      <c r="L578" s="234"/>
      <c r="M578" s="234"/>
    </row>
    <row r="579">
      <c r="I579" s="234"/>
      <c r="J579" s="234"/>
      <c r="K579" s="234"/>
      <c r="L579" s="234"/>
      <c r="M579" s="234"/>
    </row>
    <row r="580">
      <c r="I580" s="234"/>
      <c r="J580" s="234"/>
      <c r="K580" s="234"/>
      <c r="L580" s="234"/>
      <c r="M580" s="234"/>
    </row>
    <row r="581">
      <c r="I581" s="234"/>
      <c r="J581" s="234"/>
      <c r="K581" s="234"/>
      <c r="L581" s="234"/>
      <c r="M581" s="234"/>
    </row>
    <row r="582">
      <c r="I582" s="234"/>
      <c r="J582" s="234"/>
      <c r="K582" s="234"/>
      <c r="L582" s="234"/>
      <c r="M582" s="234"/>
    </row>
    <row r="583">
      <c r="I583" s="234"/>
      <c r="J583" s="234"/>
      <c r="K583" s="234"/>
      <c r="L583" s="234"/>
      <c r="M583" s="234"/>
    </row>
    <row r="584">
      <c r="I584" s="234"/>
      <c r="J584" s="234"/>
      <c r="K584" s="234"/>
      <c r="L584" s="234"/>
      <c r="M584" s="234"/>
    </row>
    <row r="585">
      <c r="I585" s="234"/>
      <c r="J585" s="234"/>
      <c r="K585" s="234"/>
      <c r="L585" s="234"/>
      <c r="M585" s="234"/>
    </row>
    <row r="586">
      <c r="I586" s="234"/>
      <c r="J586" s="234"/>
      <c r="K586" s="234"/>
      <c r="L586" s="234"/>
      <c r="M586" s="234"/>
    </row>
    <row r="587">
      <c r="I587" s="234"/>
      <c r="J587" s="234"/>
      <c r="K587" s="234"/>
      <c r="L587" s="234"/>
      <c r="M587" s="234"/>
    </row>
    <row r="588">
      <c r="I588" s="234"/>
      <c r="J588" s="234"/>
      <c r="K588" s="234"/>
      <c r="L588" s="234"/>
      <c r="M588" s="234"/>
    </row>
    <row r="589">
      <c r="I589" s="234"/>
      <c r="J589" s="234"/>
      <c r="K589" s="234"/>
      <c r="L589" s="234"/>
      <c r="M589" s="234"/>
    </row>
    <row r="590">
      <c r="I590" s="234"/>
      <c r="J590" s="234"/>
      <c r="K590" s="234"/>
      <c r="L590" s="234"/>
      <c r="M590" s="234"/>
    </row>
    <row r="591">
      <c r="I591" s="234"/>
      <c r="J591" s="234"/>
      <c r="K591" s="234"/>
      <c r="L591" s="234"/>
      <c r="M591" s="234"/>
    </row>
    <row r="592">
      <c r="I592" s="234"/>
      <c r="J592" s="234"/>
      <c r="K592" s="234"/>
      <c r="L592" s="234"/>
      <c r="M592" s="234"/>
    </row>
    <row r="593">
      <c r="I593" s="234"/>
      <c r="J593" s="234"/>
      <c r="K593" s="234"/>
      <c r="L593" s="234"/>
      <c r="M593" s="234"/>
    </row>
    <row r="594">
      <c r="I594" s="234"/>
      <c r="J594" s="234"/>
      <c r="K594" s="234"/>
      <c r="L594" s="234"/>
      <c r="M594" s="234"/>
    </row>
    <row r="595">
      <c r="I595" s="234"/>
      <c r="J595" s="234"/>
      <c r="K595" s="234"/>
      <c r="L595" s="234"/>
      <c r="M595" s="234"/>
    </row>
    <row r="596">
      <c r="I596" s="234"/>
      <c r="J596" s="234"/>
      <c r="K596" s="234"/>
      <c r="L596" s="234"/>
      <c r="M596" s="234"/>
    </row>
    <row r="597">
      <c r="I597" s="234"/>
      <c r="J597" s="234"/>
      <c r="K597" s="234"/>
      <c r="L597" s="234"/>
      <c r="M597" s="234"/>
    </row>
    <row r="598">
      <c r="I598" s="234"/>
      <c r="J598" s="234"/>
      <c r="K598" s="234"/>
      <c r="L598" s="234"/>
      <c r="M598" s="234"/>
    </row>
    <row r="599">
      <c r="I599" s="234"/>
      <c r="J599" s="234"/>
      <c r="K599" s="234"/>
      <c r="L599" s="234"/>
      <c r="M599" s="234"/>
    </row>
    <row r="600">
      <c r="I600" s="234"/>
      <c r="J600" s="234"/>
      <c r="K600" s="234"/>
      <c r="L600" s="234"/>
      <c r="M600" s="234"/>
    </row>
    <row r="601">
      <c r="I601" s="234"/>
      <c r="J601" s="234"/>
      <c r="K601" s="234"/>
      <c r="L601" s="234"/>
      <c r="M601" s="234"/>
    </row>
    <row r="602">
      <c r="I602" s="234"/>
      <c r="J602" s="234"/>
      <c r="K602" s="234"/>
      <c r="L602" s="234"/>
      <c r="M602" s="234"/>
    </row>
    <row r="603">
      <c r="I603" s="234"/>
      <c r="J603" s="234"/>
      <c r="K603" s="234"/>
      <c r="L603" s="234"/>
      <c r="M603" s="234"/>
    </row>
    <row r="604">
      <c r="I604" s="234"/>
      <c r="J604" s="234"/>
      <c r="K604" s="234"/>
      <c r="L604" s="234"/>
      <c r="M604" s="234"/>
    </row>
    <row r="605">
      <c r="I605" s="234"/>
      <c r="J605" s="234"/>
      <c r="K605" s="234"/>
      <c r="L605" s="234"/>
      <c r="M605" s="234"/>
    </row>
    <row r="606">
      <c r="I606" s="234"/>
      <c r="J606" s="234"/>
      <c r="K606" s="234"/>
      <c r="L606" s="234"/>
      <c r="M606" s="234"/>
    </row>
    <row r="607">
      <c r="I607" s="234"/>
      <c r="J607" s="234"/>
      <c r="K607" s="234"/>
      <c r="L607" s="234"/>
      <c r="M607" s="234"/>
    </row>
    <row r="608">
      <c r="I608" s="234"/>
      <c r="J608" s="234"/>
      <c r="K608" s="234"/>
      <c r="L608" s="234"/>
      <c r="M608" s="234"/>
    </row>
    <row r="609">
      <c r="I609" s="234"/>
      <c r="J609" s="234"/>
      <c r="K609" s="234"/>
      <c r="L609" s="234"/>
      <c r="M609" s="234"/>
    </row>
    <row r="610">
      <c r="I610" s="234"/>
      <c r="J610" s="234"/>
      <c r="K610" s="234"/>
      <c r="L610" s="234"/>
      <c r="M610" s="234"/>
    </row>
    <row r="611">
      <c r="I611" s="234"/>
      <c r="J611" s="234"/>
      <c r="K611" s="234"/>
      <c r="L611" s="234"/>
      <c r="M611" s="234"/>
    </row>
    <row r="612">
      <c r="I612" s="234"/>
      <c r="J612" s="234"/>
      <c r="K612" s="234"/>
      <c r="L612" s="234"/>
      <c r="M612" s="234"/>
    </row>
    <row r="613">
      <c r="I613" s="234"/>
      <c r="J613" s="234"/>
      <c r="K613" s="234"/>
      <c r="L613" s="234"/>
      <c r="M613" s="234"/>
    </row>
    <row r="614">
      <c r="I614" s="234"/>
      <c r="J614" s="234"/>
      <c r="K614" s="234"/>
      <c r="L614" s="234"/>
      <c r="M614" s="234"/>
    </row>
    <row r="615">
      <c r="I615" s="234"/>
      <c r="J615" s="234"/>
      <c r="K615" s="234"/>
      <c r="L615" s="234"/>
      <c r="M615" s="234"/>
    </row>
    <row r="616">
      <c r="I616" s="234"/>
      <c r="J616" s="234"/>
      <c r="K616" s="234"/>
      <c r="L616" s="234"/>
      <c r="M616" s="234"/>
    </row>
    <row r="617">
      <c r="I617" s="234"/>
      <c r="J617" s="234"/>
      <c r="K617" s="234"/>
      <c r="L617" s="234"/>
      <c r="M617" s="234"/>
    </row>
    <row r="618">
      <c r="I618" s="234"/>
      <c r="J618" s="234"/>
      <c r="K618" s="234"/>
      <c r="L618" s="234"/>
      <c r="M618" s="234"/>
    </row>
    <row r="619">
      <c r="I619" s="234"/>
      <c r="J619" s="234"/>
      <c r="K619" s="234"/>
      <c r="L619" s="234"/>
      <c r="M619" s="234"/>
    </row>
    <row r="620">
      <c r="I620" s="234"/>
      <c r="J620" s="234"/>
      <c r="K620" s="234"/>
      <c r="L620" s="234"/>
      <c r="M620" s="234"/>
    </row>
    <row r="621">
      <c r="I621" s="234"/>
      <c r="J621" s="234"/>
      <c r="K621" s="234"/>
      <c r="L621" s="234"/>
      <c r="M621" s="234"/>
    </row>
    <row r="622">
      <c r="I622" s="234"/>
      <c r="J622" s="234"/>
      <c r="K622" s="234"/>
      <c r="L622" s="234"/>
      <c r="M622" s="234"/>
    </row>
    <row r="623">
      <c r="I623" s="234"/>
      <c r="J623" s="234"/>
      <c r="K623" s="234"/>
      <c r="L623" s="234"/>
      <c r="M623" s="234"/>
    </row>
    <row r="624">
      <c r="I624" s="234"/>
      <c r="J624" s="234"/>
      <c r="K624" s="234"/>
      <c r="L624" s="234"/>
      <c r="M624" s="234"/>
    </row>
    <row r="625">
      <c r="I625" s="234"/>
      <c r="J625" s="234"/>
      <c r="K625" s="234"/>
      <c r="L625" s="234"/>
      <c r="M625" s="234"/>
    </row>
    <row r="626">
      <c r="I626" s="234"/>
      <c r="J626" s="234"/>
      <c r="K626" s="234"/>
      <c r="L626" s="234"/>
      <c r="M626" s="234"/>
    </row>
    <row r="627">
      <c r="I627" s="234"/>
      <c r="J627" s="234"/>
      <c r="K627" s="234"/>
      <c r="L627" s="234"/>
      <c r="M627" s="234"/>
    </row>
    <row r="628">
      <c r="I628" s="234"/>
      <c r="J628" s="234"/>
      <c r="K628" s="234"/>
      <c r="L628" s="234"/>
      <c r="M628" s="234"/>
    </row>
    <row r="629">
      <c r="I629" s="234"/>
      <c r="J629" s="234"/>
      <c r="K629" s="234"/>
      <c r="L629" s="234"/>
      <c r="M629" s="234"/>
    </row>
    <row r="630">
      <c r="I630" s="234"/>
      <c r="J630" s="234"/>
      <c r="K630" s="234"/>
      <c r="L630" s="234"/>
      <c r="M630" s="234"/>
    </row>
    <row r="631">
      <c r="I631" s="234"/>
      <c r="J631" s="234"/>
      <c r="K631" s="234"/>
      <c r="L631" s="234"/>
      <c r="M631" s="234"/>
    </row>
    <row r="632">
      <c r="I632" s="234"/>
      <c r="J632" s="234"/>
      <c r="K632" s="234"/>
      <c r="L632" s="234"/>
      <c r="M632" s="234"/>
    </row>
    <row r="633">
      <c r="I633" s="234"/>
      <c r="J633" s="234"/>
      <c r="K633" s="234"/>
      <c r="L633" s="234"/>
      <c r="M633" s="234"/>
    </row>
    <row r="634">
      <c r="I634" s="234"/>
      <c r="J634" s="234"/>
      <c r="K634" s="234"/>
      <c r="L634" s="234"/>
      <c r="M634" s="234"/>
    </row>
    <row r="635">
      <c r="I635" s="234"/>
      <c r="J635" s="234"/>
      <c r="K635" s="234"/>
      <c r="L635" s="234"/>
      <c r="M635" s="234"/>
    </row>
    <row r="636">
      <c r="I636" s="234"/>
      <c r="J636" s="234"/>
      <c r="K636" s="234"/>
      <c r="L636" s="234"/>
      <c r="M636" s="234"/>
    </row>
    <row r="637">
      <c r="I637" s="234"/>
      <c r="J637" s="234"/>
      <c r="K637" s="234"/>
      <c r="L637" s="234"/>
      <c r="M637" s="234"/>
    </row>
    <row r="638">
      <c r="I638" s="234"/>
      <c r="J638" s="234"/>
      <c r="K638" s="234"/>
      <c r="L638" s="234"/>
      <c r="M638" s="234"/>
    </row>
    <row r="639">
      <c r="I639" s="234"/>
      <c r="J639" s="234"/>
      <c r="K639" s="234"/>
      <c r="L639" s="234"/>
      <c r="M639" s="234"/>
    </row>
    <row r="640">
      <c r="I640" s="234"/>
      <c r="J640" s="234"/>
      <c r="K640" s="234"/>
      <c r="L640" s="234"/>
      <c r="M640" s="234"/>
    </row>
    <row r="641">
      <c r="I641" s="234"/>
      <c r="J641" s="234"/>
      <c r="K641" s="234"/>
      <c r="L641" s="234"/>
      <c r="M641" s="234"/>
    </row>
    <row r="642">
      <c r="I642" s="234"/>
      <c r="J642" s="234"/>
      <c r="K642" s="234"/>
      <c r="L642" s="234"/>
      <c r="M642" s="234"/>
    </row>
    <row r="643">
      <c r="I643" s="234"/>
      <c r="J643" s="234"/>
      <c r="K643" s="234"/>
      <c r="L643" s="234"/>
      <c r="M643" s="234"/>
    </row>
    <row r="644">
      <c r="I644" s="234"/>
      <c r="J644" s="234"/>
      <c r="K644" s="234"/>
      <c r="L644" s="234"/>
      <c r="M644" s="234"/>
    </row>
    <row r="645">
      <c r="I645" s="234"/>
      <c r="J645" s="234"/>
      <c r="K645" s="234"/>
      <c r="L645" s="234"/>
      <c r="M645" s="234"/>
    </row>
    <row r="646">
      <c r="I646" s="234"/>
      <c r="J646" s="234"/>
      <c r="K646" s="234"/>
      <c r="L646" s="234"/>
      <c r="M646" s="234"/>
    </row>
    <row r="647">
      <c r="I647" s="234"/>
      <c r="J647" s="234"/>
      <c r="K647" s="234"/>
      <c r="L647" s="234"/>
      <c r="M647" s="234"/>
    </row>
    <row r="648">
      <c r="I648" s="234"/>
      <c r="J648" s="234"/>
      <c r="K648" s="234"/>
      <c r="L648" s="234"/>
      <c r="M648" s="234"/>
    </row>
    <row r="649">
      <c r="I649" s="234"/>
      <c r="J649" s="234"/>
      <c r="K649" s="234"/>
      <c r="L649" s="234"/>
      <c r="M649" s="234"/>
    </row>
    <row r="650">
      <c r="I650" s="234"/>
      <c r="J650" s="234"/>
      <c r="K650" s="234"/>
      <c r="L650" s="234"/>
      <c r="M650" s="234"/>
    </row>
    <row r="651">
      <c r="I651" s="234"/>
      <c r="J651" s="234"/>
      <c r="K651" s="234"/>
      <c r="L651" s="234"/>
      <c r="M651" s="234"/>
    </row>
    <row r="652">
      <c r="I652" s="234"/>
      <c r="J652" s="234"/>
      <c r="K652" s="234"/>
      <c r="L652" s="234"/>
      <c r="M652" s="234"/>
    </row>
    <row r="653">
      <c r="I653" s="234"/>
      <c r="J653" s="234"/>
      <c r="K653" s="234"/>
      <c r="L653" s="234"/>
      <c r="M653" s="234"/>
    </row>
    <row r="654">
      <c r="I654" s="234"/>
      <c r="J654" s="234"/>
      <c r="K654" s="234"/>
      <c r="L654" s="234"/>
      <c r="M654" s="234"/>
    </row>
    <row r="655">
      <c r="I655" s="234"/>
      <c r="J655" s="234"/>
      <c r="K655" s="234"/>
      <c r="L655" s="234"/>
      <c r="M655" s="234"/>
    </row>
    <row r="656">
      <c r="I656" s="234"/>
      <c r="J656" s="234"/>
      <c r="K656" s="234"/>
      <c r="L656" s="234"/>
      <c r="M656" s="234"/>
    </row>
    <row r="657">
      <c r="I657" s="234"/>
      <c r="J657" s="234"/>
      <c r="K657" s="234"/>
      <c r="L657" s="234"/>
      <c r="M657" s="234"/>
    </row>
    <row r="658">
      <c r="I658" s="234"/>
      <c r="J658" s="234"/>
      <c r="K658" s="234"/>
      <c r="L658" s="234"/>
      <c r="M658" s="234"/>
    </row>
    <row r="659">
      <c r="I659" s="234"/>
      <c r="J659" s="234"/>
      <c r="K659" s="234"/>
      <c r="L659" s="234"/>
      <c r="M659" s="234"/>
    </row>
    <row r="660">
      <c r="I660" s="234"/>
      <c r="J660" s="234"/>
      <c r="K660" s="234"/>
      <c r="L660" s="234"/>
      <c r="M660" s="234"/>
    </row>
    <row r="661">
      <c r="I661" s="234"/>
      <c r="J661" s="234"/>
      <c r="K661" s="234"/>
      <c r="L661" s="234"/>
      <c r="M661" s="234"/>
    </row>
    <row r="662">
      <c r="I662" s="234"/>
      <c r="J662" s="234"/>
      <c r="K662" s="234"/>
      <c r="L662" s="234"/>
      <c r="M662" s="234"/>
    </row>
    <row r="663">
      <c r="I663" s="234"/>
      <c r="J663" s="234"/>
      <c r="K663" s="234"/>
      <c r="L663" s="234"/>
      <c r="M663" s="234"/>
    </row>
    <row r="664">
      <c r="I664" s="234"/>
      <c r="J664" s="234"/>
      <c r="K664" s="234"/>
      <c r="L664" s="234"/>
      <c r="M664" s="234"/>
    </row>
    <row r="665">
      <c r="I665" s="234"/>
      <c r="J665" s="234"/>
      <c r="K665" s="234"/>
      <c r="L665" s="234"/>
      <c r="M665" s="234"/>
    </row>
    <row r="666">
      <c r="I666" s="234"/>
      <c r="J666" s="234"/>
      <c r="K666" s="234"/>
      <c r="L666" s="234"/>
      <c r="M666" s="234"/>
    </row>
    <row r="667">
      <c r="I667" s="234"/>
      <c r="J667" s="234"/>
      <c r="K667" s="234"/>
      <c r="L667" s="234"/>
      <c r="M667" s="234"/>
    </row>
    <row r="668">
      <c r="I668" s="234"/>
      <c r="J668" s="234"/>
      <c r="K668" s="234"/>
      <c r="L668" s="234"/>
      <c r="M668" s="234"/>
    </row>
    <row r="669">
      <c r="I669" s="234"/>
      <c r="J669" s="234"/>
      <c r="K669" s="234"/>
      <c r="L669" s="234"/>
      <c r="M669" s="234"/>
    </row>
    <row r="670">
      <c r="I670" s="234"/>
      <c r="J670" s="234"/>
      <c r="K670" s="234"/>
      <c r="L670" s="234"/>
      <c r="M670" s="234"/>
    </row>
    <row r="671">
      <c r="I671" s="234"/>
      <c r="J671" s="234"/>
      <c r="K671" s="234"/>
      <c r="L671" s="234"/>
      <c r="M671" s="234"/>
    </row>
    <row r="672">
      <c r="I672" s="234"/>
      <c r="J672" s="234"/>
      <c r="K672" s="234"/>
      <c r="L672" s="234"/>
      <c r="M672" s="234"/>
    </row>
    <row r="673">
      <c r="I673" s="234"/>
      <c r="J673" s="234"/>
      <c r="K673" s="234"/>
      <c r="L673" s="234"/>
      <c r="M673" s="234"/>
    </row>
    <row r="674">
      <c r="I674" s="234"/>
      <c r="J674" s="234"/>
      <c r="K674" s="234"/>
      <c r="L674" s="234"/>
      <c r="M674" s="234"/>
    </row>
    <row r="675">
      <c r="I675" s="234"/>
      <c r="J675" s="234"/>
      <c r="K675" s="234"/>
      <c r="L675" s="234"/>
      <c r="M675" s="234"/>
    </row>
    <row r="676">
      <c r="I676" s="234"/>
      <c r="J676" s="234"/>
      <c r="K676" s="234"/>
      <c r="L676" s="234"/>
      <c r="M676" s="234"/>
    </row>
    <row r="677">
      <c r="I677" s="234"/>
      <c r="J677" s="234"/>
      <c r="K677" s="234"/>
      <c r="L677" s="234"/>
      <c r="M677" s="234"/>
    </row>
    <row r="678">
      <c r="I678" s="234"/>
      <c r="J678" s="234"/>
      <c r="K678" s="234"/>
      <c r="L678" s="234"/>
      <c r="M678" s="234"/>
    </row>
    <row r="679">
      <c r="I679" s="234"/>
      <c r="J679" s="234"/>
      <c r="K679" s="234"/>
      <c r="L679" s="234"/>
      <c r="M679" s="234"/>
    </row>
    <row r="680">
      <c r="I680" s="234"/>
      <c r="J680" s="234"/>
      <c r="K680" s="234"/>
      <c r="L680" s="234"/>
      <c r="M680" s="234"/>
    </row>
    <row r="681">
      <c r="I681" s="234"/>
      <c r="J681" s="234"/>
      <c r="K681" s="234"/>
      <c r="L681" s="234"/>
      <c r="M681" s="234"/>
    </row>
    <row r="682">
      <c r="I682" s="234"/>
      <c r="J682" s="234"/>
      <c r="K682" s="234"/>
      <c r="L682" s="234"/>
      <c r="M682" s="234"/>
    </row>
    <row r="683">
      <c r="I683" s="234"/>
      <c r="J683" s="234"/>
      <c r="K683" s="234"/>
      <c r="L683" s="234"/>
      <c r="M683" s="234"/>
    </row>
    <row r="684">
      <c r="I684" s="234"/>
      <c r="J684" s="234"/>
      <c r="K684" s="234"/>
      <c r="L684" s="234"/>
      <c r="M684" s="234"/>
    </row>
    <row r="685">
      <c r="I685" s="234"/>
      <c r="J685" s="234"/>
      <c r="K685" s="234"/>
      <c r="L685" s="234"/>
      <c r="M685" s="234"/>
    </row>
    <row r="686">
      <c r="I686" s="234"/>
      <c r="J686" s="234"/>
      <c r="K686" s="234"/>
      <c r="L686" s="234"/>
      <c r="M686" s="234"/>
    </row>
    <row r="687">
      <c r="I687" s="234"/>
      <c r="J687" s="234"/>
      <c r="K687" s="234"/>
      <c r="L687" s="234"/>
      <c r="M687" s="234"/>
    </row>
    <row r="688">
      <c r="I688" s="234"/>
      <c r="J688" s="234"/>
      <c r="K688" s="234"/>
      <c r="L688" s="234"/>
      <c r="M688" s="234"/>
    </row>
    <row r="689">
      <c r="I689" s="234"/>
      <c r="J689" s="234"/>
      <c r="K689" s="234"/>
      <c r="L689" s="234"/>
      <c r="M689" s="234"/>
    </row>
    <row r="690">
      <c r="I690" s="234"/>
      <c r="J690" s="234"/>
      <c r="K690" s="234"/>
      <c r="L690" s="234"/>
      <c r="M690" s="234"/>
    </row>
    <row r="691">
      <c r="I691" s="234"/>
      <c r="J691" s="234"/>
      <c r="K691" s="234"/>
      <c r="L691" s="234"/>
      <c r="M691" s="234"/>
    </row>
    <row r="692">
      <c r="I692" s="234"/>
      <c r="J692" s="234"/>
      <c r="K692" s="234"/>
      <c r="L692" s="234"/>
      <c r="M692" s="234"/>
    </row>
    <row r="693">
      <c r="I693" s="234"/>
      <c r="J693" s="234"/>
      <c r="K693" s="234"/>
      <c r="L693" s="234"/>
      <c r="M693" s="234"/>
    </row>
    <row r="694">
      <c r="I694" s="234"/>
      <c r="J694" s="234"/>
      <c r="K694" s="234"/>
      <c r="L694" s="234"/>
      <c r="M694" s="234"/>
    </row>
    <row r="695">
      <c r="I695" s="234"/>
      <c r="J695" s="234"/>
      <c r="K695" s="234"/>
      <c r="L695" s="234"/>
      <c r="M695" s="234"/>
    </row>
    <row r="696">
      <c r="I696" s="234"/>
      <c r="J696" s="234"/>
      <c r="K696" s="234"/>
      <c r="L696" s="234"/>
      <c r="M696" s="234"/>
    </row>
    <row r="697">
      <c r="I697" s="234"/>
      <c r="J697" s="234"/>
      <c r="K697" s="234"/>
      <c r="L697" s="234"/>
      <c r="M697" s="234"/>
    </row>
    <row r="698">
      <c r="I698" s="234"/>
      <c r="J698" s="234"/>
      <c r="K698" s="234"/>
      <c r="L698" s="234"/>
      <c r="M698" s="234"/>
    </row>
    <row r="699">
      <c r="I699" s="234"/>
      <c r="J699" s="234"/>
      <c r="K699" s="234"/>
      <c r="L699" s="234"/>
      <c r="M699" s="234"/>
    </row>
    <row r="700">
      <c r="I700" s="234"/>
      <c r="J700" s="234"/>
      <c r="K700" s="234"/>
      <c r="L700" s="234"/>
      <c r="M700" s="234"/>
    </row>
    <row r="701">
      <c r="I701" s="234"/>
      <c r="J701" s="234"/>
      <c r="K701" s="234"/>
      <c r="L701" s="234"/>
      <c r="M701" s="234"/>
    </row>
    <row r="702">
      <c r="I702" s="234"/>
      <c r="J702" s="234"/>
      <c r="K702" s="234"/>
      <c r="L702" s="234"/>
      <c r="M702" s="234"/>
    </row>
    <row r="703">
      <c r="I703" s="234"/>
      <c r="J703" s="234"/>
      <c r="K703" s="234"/>
      <c r="L703" s="234"/>
      <c r="M703" s="234"/>
    </row>
    <row r="704">
      <c r="I704" s="234"/>
      <c r="J704" s="234"/>
      <c r="K704" s="234"/>
      <c r="L704" s="234"/>
      <c r="M704" s="234"/>
    </row>
    <row r="705">
      <c r="I705" s="234"/>
      <c r="J705" s="234"/>
      <c r="K705" s="234"/>
      <c r="L705" s="234"/>
      <c r="M705" s="234"/>
    </row>
    <row r="706">
      <c r="I706" s="234"/>
      <c r="J706" s="234"/>
      <c r="K706" s="234"/>
      <c r="L706" s="234"/>
      <c r="M706" s="234"/>
    </row>
    <row r="707">
      <c r="I707" s="234"/>
      <c r="J707" s="234"/>
      <c r="K707" s="234"/>
      <c r="L707" s="234"/>
      <c r="M707" s="234"/>
    </row>
    <row r="708">
      <c r="I708" s="234"/>
      <c r="J708" s="234"/>
      <c r="K708" s="234"/>
      <c r="L708" s="234"/>
      <c r="M708" s="234"/>
    </row>
    <row r="709">
      <c r="I709" s="234"/>
      <c r="J709" s="234"/>
      <c r="K709" s="234"/>
      <c r="L709" s="234"/>
      <c r="M709" s="234"/>
    </row>
    <row r="710">
      <c r="I710" s="234"/>
      <c r="J710" s="234"/>
      <c r="K710" s="234"/>
      <c r="L710" s="234"/>
      <c r="M710" s="234"/>
    </row>
    <row r="711">
      <c r="I711" s="234"/>
      <c r="J711" s="234"/>
      <c r="K711" s="234"/>
      <c r="L711" s="234"/>
      <c r="M711" s="234"/>
    </row>
    <row r="712">
      <c r="I712" s="234"/>
      <c r="J712" s="234"/>
      <c r="K712" s="234"/>
      <c r="L712" s="234"/>
      <c r="M712" s="234"/>
    </row>
    <row r="713">
      <c r="I713" s="234"/>
      <c r="J713" s="234"/>
      <c r="K713" s="234"/>
      <c r="L713" s="234"/>
      <c r="M713" s="234"/>
    </row>
    <row r="714">
      <c r="I714" s="234"/>
      <c r="J714" s="234"/>
      <c r="K714" s="234"/>
      <c r="L714" s="234"/>
      <c r="M714" s="234"/>
    </row>
    <row r="715">
      <c r="I715" s="234"/>
      <c r="J715" s="234"/>
      <c r="K715" s="234"/>
      <c r="L715" s="234"/>
      <c r="M715" s="234"/>
    </row>
    <row r="716">
      <c r="I716" s="234"/>
      <c r="J716" s="234"/>
      <c r="K716" s="234"/>
      <c r="L716" s="234"/>
      <c r="M716" s="234"/>
    </row>
    <row r="717">
      <c r="I717" s="234"/>
      <c r="J717" s="234"/>
      <c r="K717" s="234"/>
      <c r="L717" s="234"/>
      <c r="M717" s="234"/>
    </row>
    <row r="718">
      <c r="I718" s="234"/>
      <c r="J718" s="234"/>
      <c r="K718" s="234"/>
      <c r="L718" s="234"/>
      <c r="M718" s="234"/>
    </row>
    <row r="719">
      <c r="I719" s="234"/>
      <c r="J719" s="234"/>
      <c r="K719" s="234"/>
      <c r="L719" s="234"/>
      <c r="M719" s="234"/>
    </row>
    <row r="720">
      <c r="I720" s="234"/>
      <c r="J720" s="234"/>
      <c r="K720" s="234"/>
      <c r="L720" s="234"/>
      <c r="M720" s="234"/>
    </row>
    <row r="721">
      <c r="I721" s="234"/>
      <c r="J721" s="234"/>
      <c r="K721" s="234"/>
      <c r="L721" s="234"/>
      <c r="M721" s="234"/>
    </row>
    <row r="722">
      <c r="I722" s="234"/>
      <c r="J722" s="234"/>
      <c r="K722" s="234"/>
      <c r="L722" s="234"/>
      <c r="M722" s="234"/>
    </row>
    <row r="723">
      <c r="I723" s="234"/>
      <c r="J723" s="234"/>
      <c r="K723" s="234"/>
      <c r="L723" s="234"/>
      <c r="M723" s="234"/>
    </row>
    <row r="724">
      <c r="I724" s="234"/>
      <c r="J724" s="234"/>
      <c r="K724" s="234"/>
      <c r="L724" s="234"/>
      <c r="M724" s="234"/>
    </row>
    <row r="725">
      <c r="I725" s="234"/>
      <c r="J725" s="234"/>
      <c r="K725" s="234"/>
      <c r="L725" s="234"/>
      <c r="M725" s="234"/>
    </row>
    <row r="726">
      <c r="I726" s="234"/>
      <c r="J726" s="234"/>
      <c r="K726" s="234"/>
      <c r="L726" s="234"/>
      <c r="M726" s="234"/>
    </row>
    <row r="727">
      <c r="I727" s="234"/>
      <c r="J727" s="234"/>
      <c r="K727" s="234"/>
      <c r="L727" s="234"/>
      <c r="M727" s="234"/>
    </row>
    <row r="728">
      <c r="I728" s="234"/>
      <c r="J728" s="234"/>
      <c r="K728" s="234"/>
      <c r="L728" s="234"/>
      <c r="M728" s="234"/>
    </row>
    <row r="729">
      <c r="I729" s="234"/>
      <c r="J729" s="234"/>
      <c r="K729" s="234"/>
      <c r="L729" s="234"/>
      <c r="M729" s="234"/>
    </row>
    <row r="730">
      <c r="I730" s="234"/>
      <c r="J730" s="234"/>
      <c r="K730" s="234"/>
      <c r="L730" s="234"/>
      <c r="M730" s="234"/>
    </row>
    <row r="731">
      <c r="I731" s="234"/>
      <c r="J731" s="234"/>
      <c r="K731" s="234"/>
      <c r="L731" s="234"/>
      <c r="M731" s="234"/>
    </row>
    <row r="732">
      <c r="I732" s="234"/>
      <c r="J732" s="234"/>
      <c r="K732" s="234"/>
      <c r="L732" s="234"/>
      <c r="M732" s="234"/>
    </row>
    <row r="733">
      <c r="I733" s="234"/>
      <c r="J733" s="234"/>
      <c r="K733" s="234"/>
      <c r="L733" s="234"/>
      <c r="M733" s="234"/>
    </row>
    <row r="734">
      <c r="I734" s="234"/>
      <c r="J734" s="234"/>
      <c r="K734" s="234"/>
      <c r="L734" s="234"/>
      <c r="M734" s="234"/>
    </row>
    <row r="735">
      <c r="I735" s="234"/>
      <c r="J735" s="234"/>
      <c r="K735" s="234"/>
      <c r="L735" s="234"/>
      <c r="M735" s="234"/>
    </row>
    <row r="736">
      <c r="I736" s="234"/>
      <c r="J736" s="234"/>
      <c r="K736" s="234"/>
      <c r="L736" s="234"/>
      <c r="M736" s="234"/>
    </row>
    <row r="737">
      <c r="I737" s="234"/>
      <c r="J737" s="234"/>
      <c r="K737" s="234"/>
      <c r="L737" s="234"/>
      <c r="M737" s="234"/>
    </row>
    <row r="738">
      <c r="I738" s="234"/>
      <c r="J738" s="234"/>
      <c r="K738" s="234"/>
      <c r="L738" s="234"/>
      <c r="M738" s="234"/>
    </row>
    <row r="739">
      <c r="I739" s="234"/>
      <c r="J739" s="234"/>
      <c r="K739" s="234"/>
      <c r="L739" s="234"/>
      <c r="M739" s="234"/>
    </row>
    <row r="740">
      <c r="I740" s="234"/>
      <c r="J740" s="234"/>
      <c r="K740" s="234"/>
      <c r="L740" s="234"/>
      <c r="M740" s="234"/>
    </row>
    <row r="741">
      <c r="I741" s="234"/>
      <c r="J741" s="234"/>
      <c r="K741" s="234"/>
      <c r="L741" s="234"/>
      <c r="M741" s="234"/>
    </row>
    <row r="742">
      <c r="I742" s="234"/>
      <c r="J742" s="234"/>
      <c r="K742" s="234"/>
      <c r="L742" s="234"/>
      <c r="M742" s="234"/>
    </row>
    <row r="743">
      <c r="I743" s="234"/>
      <c r="J743" s="234"/>
      <c r="K743" s="234"/>
      <c r="L743" s="234"/>
      <c r="M743" s="234"/>
    </row>
    <row r="744">
      <c r="I744" s="234"/>
      <c r="J744" s="234"/>
      <c r="K744" s="234"/>
      <c r="L744" s="234"/>
      <c r="M744" s="234"/>
    </row>
    <row r="745">
      <c r="I745" s="234"/>
      <c r="J745" s="234"/>
      <c r="K745" s="234"/>
      <c r="L745" s="234"/>
      <c r="M745" s="234"/>
    </row>
    <row r="746">
      <c r="I746" s="234"/>
      <c r="J746" s="234"/>
      <c r="K746" s="234"/>
      <c r="L746" s="234"/>
      <c r="M746" s="234"/>
    </row>
    <row r="747">
      <c r="I747" s="234"/>
      <c r="J747" s="234"/>
      <c r="K747" s="234"/>
      <c r="L747" s="234"/>
      <c r="M747" s="234"/>
    </row>
    <row r="748">
      <c r="I748" s="234"/>
      <c r="J748" s="234"/>
      <c r="K748" s="234"/>
      <c r="L748" s="234"/>
      <c r="M748" s="234"/>
    </row>
    <row r="749">
      <c r="I749" s="234"/>
      <c r="J749" s="234"/>
      <c r="K749" s="234"/>
      <c r="L749" s="234"/>
      <c r="M749" s="234"/>
    </row>
    <row r="750">
      <c r="I750" s="234"/>
      <c r="J750" s="234"/>
      <c r="K750" s="234"/>
      <c r="L750" s="234"/>
      <c r="M750" s="234"/>
    </row>
    <row r="751">
      <c r="I751" s="234"/>
      <c r="J751" s="234"/>
      <c r="K751" s="234"/>
      <c r="L751" s="234"/>
      <c r="M751" s="234"/>
    </row>
    <row r="752">
      <c r="I752" s="234"/>
      <c r="J752" s="234"/>
      <c r="K752" s="234"/>
      <c r="L752" s="234"/>
      <c r="M752" s="234"/>
    </row>
    <row r="753">
      <c r="I753" s="234"/>
      <c r="J753" s="234"/>
      <c r="K753" s="234"/>
      <c r="L753" s="234"/>
      <c r="M753" s="234"/>
    </row>
    <row r="754">
      <c r="I754" s="234"/>
      <c r="J754" s="234"/>
      <c r="K754" s="234"/>
      <c r="L754" s="234"/>
      <c r="M754" s="234"/>
    </row>
    <row r="755">
      <c r="I755" s="234"/>
      <c r="J755" s="234"/>
      <c r="K755" s="234"/>
      <c r="L755" s="234"/>
      <c r="M755" s="234"/>
    </row>
    <row r="756">
      <c r="I756" s="234"/>
      <c r="J756" s="234"/>
      <c r="K756" s="234"/>
      <c r="L756" s="234"/>
      <c r="M756" s="234"/>
    </row>
    <row r="757">
      <c r="I757" s="234"/>
      <c r="J757" s="234"/>
      <c r="K757" s="234"/>
      <c r="L757" s="234"/>
      <c r="M757" s="234"/>
    </row>
    <row r="758">
      <c r="I758" s="234"/>
      <c r="J758" s="234"/>
      <c r="K758" s="234"/>
      <c r="L758" s="234"/>
      <c r="M758" s="234"/>
    </row>
    <row r="759">
      <c r="I759" s="234"/>
      <c r="J759" s="234"/>
      <c r="K759" s="234"/>
      <c r="L759" s="234"/>
      <c r="M759" s="234"/>
    </row>
    <row r="760">
      <c r="I760" s="234"/>
      <c r="J760" s="234"/>
      <c r="K760" s="234"/>
      <c r="L760" s="234"/>
      <c r="M760" s="234"/>
    </row>
    <row r="761">
      <c r="I761" s="234"/>
      <c r="J761" s="234"/>
      <c r="K761" s="234"/>
      <c r="L761" s="234"/>
      <c r="M761" s="234"/>
    </row>
    <row r="762">
      <c r="I762" s="234"/>
      <c r="J762" s="234"/>
      <c r="K762" s="234"/>
      <c r="L762" s="234"/>
      <c r="M762" s="234"/>
    </row>
    <row r="763">
      <c r="I763" s="234"/>
      <c r="J763" s="234"/>
      <c r="K763" s="234"/>
      <c r="L763" s="234"/>
      <c r="M763" s="234"/>
    </row>
    <row r="764">
      <c r="I764" s="234"/>
      <c r="J764" s="234"/>
      <c r="K764" s="234"/>
      <c r="L764" s="234"/>
      <c r="M764" s="234"/>
    </row>
    <row r="765">
      <c r="I765" s="234"/>
      <c r="J765" s="234"/>
      <c r="K765" s="234"/>
      <c r="L765" s="234"/>
      <c r="M765" s="234"/>
    </row>
    <row r="766">
      <c r="I766" s="234"/>
      <c r="J766" s="234"/>
      <c r="K766" s="234"/>
      <c r="L766" s="234"/>
      <c r="M766" s="234"/>
    </row>
    <row r="767">
      <c r="I767" s="234"/>
      <c r="J767" s="234"/>
      <c r="K767" s="234"/>
      <c r="L767" s="234"/>
      <c r="M767" s="234"/>
    </row>
    <row r="768">
      <c r="I768" s="234"/>
      <c r="J768" s="234"/>
      <c r="K768" s="234"/>
      <c r="L768" s="234"/>
      <c r="M768" s="234"/>
    </row>
    <row r="769">
      <c r="I769" s="234"/>
      <c r="J769" s="234"/>
      <c r="K769" s="234"/>
      <c r="L769" s="234"/>
      <c r="M769" s="234"/>
    </row>
    <row r="770">
      <c r="I770" s="234"/>
      <c r="J770" s="234"/>
      <c r="K770" s="234"/>
      <c r="L770" s="234"/>
      <c r="M770" s="234"/>
    </row>
    <row r="771">
      <c r="I771" s="234"/>
      <c r="J771" s="234"/>
      <c r="K771" s="234"/>
      <c r="L771" s="234"/>
      <c r="M771" s="234"/>
    </row>
    <row r="772">
      <c r="I772" s="234"/>
      <c r="J772" s="234"/>
      <c r="K772" s="234"/>
      <c r="L772" s="234"/>
      <c r="M772" s="234"/>
    </row>
    <row r="773">
      <c r="I773" s="234"/>
      <c r="J773" s="234"/>
      <c r="K773" s="234"/>
      <c r="L773" s="234"/>
      <c r="M773" s="234"/>
    </row>
    <row r="774">
      <c r="I774" s="234"/>
      <c r="J774" s="234"/>
      <c r="K774" s="234"/>
      <c r="L774" s="234"/>
      <c r="M774" s="234"/>
    </row>
    <row r="775">
      <c r="I775" s="234"/>
      <c r="J775" s="234"/>
      <c r="K775" s="234"/>
      <c r="L775" s="234"/>
      <c r="M775" s="234"/>
    </row>
    <row r="776">
      <c r="I776" s="234"/>
      <c r="J776" s="234"/>
      <c r="K776" s="234"/>
      <c r="L776" s="234"/>
      <c r="M776" s="234"/>
    </row>
    <row r="777">
      <c r="I777" s="234"/>
      <c r="J777" s="234"/>
      <c r="K777" s="234"/>
      <c r="L777" s="234"/>
      <c r="M777" s="234"/>
    </row>
    <row r="778">
      <c r="I778" s="234"/>
      <c r="J778" s="234"/>
      <c r="K778" s="234"/>
      <c r="L778" s="234"/>
      <c r="M778" s="234"/>
    </row>
    <row r="779">
      <c r="I779" s="234"/>
      <c r="J779" s="234"/>
      <c r="K779" s="234"/>
      <c r="L779" s="234"/>
      <c r="M779" s="234"/>
    </row>
    <row r="780">
      <c r="I780" s="234"/>
      <c r="J780" s="234"/>
      <c r="K780" s="234"/>
      <c r="L780" s="234"/>
      <c r="M780" s="234"/>
    </row>
    <row r="781">
      <c r="I781" s="234"/>
      <c r="J781" s="234"/>
      <c r="K781" s="234"/>
      <c r="L781" s="234"/>
      <c r="M781" s="234"/>
    </row>
    <row r="782">
      <c r="I782" s="234"/>
      <c r="J782" s="234"/>
      <c r="K782" s="234"/>
      <c r="L782" s="234"/>
      <c r="M782" s="234"/>
    </row>
    <row r="783">
      <c r="I783" s="234"/>
      <c r="J783" s="234"/>
      <c r="K783" s="234"/>
      <c r="L783" s="234"/>
      <c r="M783" s="234"/>
    </row>
    <row r="784">
      <c r="I784" s="234"/>
      <c r="J784" s="234"/>
      <c r="K784" s="234"/>
      <c r="L784" s="234"/>
      <c r="M784" s="234"/>
    </row>
    <row r="785">
      <c r="I785" s="234"/>
      <c r="J785" s="234"/>
      <c r="K785" s="234"/>
      <c r="L785" s="234"/>
      <c r="M785" s="234"/>
    </row>
    <row r="786">
      <c r="I786" s="234"/>
      <c r="J786" s="234"/>
      <c r="K786" s="234"/>
      <c r="L786" s="234"/>
      <c r="M786" s="234"/>
    </row>
    <row r="787">
      <c r="I787" s="234"/>
      <c r="J787" s="234"/>
      <c r="K787" s="234"/>
      <c r="L787" s="234"/>
      <c r="M787" s="234"/>
    </row>
    <row r="788">
      <c r="I788" s="234"/>
      <c r="J788" s="234"/>
      <c r="K788" s="234"/>
      <c r="L788" s="234"/>
      <c r="M788" s="234"/>
    </row>
    <row r="789">
      <c r="I789" s="234"/>
      <c r="J789" s="234"/>
      <c r="K789" s="234"/>
      <c r="L789" s="234"/>
      <c r="M789" s="234"/>
    </row>
    <row r="790">
      <c r="I790" s="234"/>
      <c r="J790" s="234"/>
      <c r="K790" s="234"/>
      <c r="L790" s="234"/>
      <c r="M790" s="234"/>
    </row>
    <row r="791">
      <c r="I791" s="234"/>
      <c r="J791" s="234"/>
      <c r="K791" s="234"/>
      <c r="L791" s="234"/>
      <c r="M791" s="234"/>
    </row>
    <row r="792">
      <c r="I792" s="234"/>
      <c r="J792" s="234"/>
      <c r="K792" s="234"/>
      <c r="L792" s="234"/>
      <c r="M792" s="234"/>
    </row>
    <row r="793">
      <c r="I793" s="234"/>
      <c r="J793" s="234"/>
      <c r="K793" s="234"/>
      <c r="L793" s="234"/>
      <c r="M793" s="234"/>
    </row>
    <row r="794">
      <c r="I794" s="234"/>
      <c r="J794" s="234"/>
      <c r="K794" s="234"/>
      <c r="L794" s="234"/>
      <c r="M794" s="234"/>
    </row>
    <row r="795">
      <c r="I795" s="234"/>
      <c r="J795" s="234"/>
      <c r="K795" s="234"/>
      <c r="L795" s="234"/>
      <c r="M795" s="234"/>
    </row>
    <row r="796">
      <c r="I796" s="234"/>
      <c r="J796" s="234"/>
      <c r="K796" s="234"/>
      <c r="L796" s="234"/>
      <c r="M796" s="234"/>
    </row>
    <row r="797">
      <c r="I797" s="234"/>
      <c r="J797" s="234"/>
      <c r="K797" s="234"/>
      <c r="L797" s="234"/>
      <c r="M797" s="234"/>
    </row>
    <row r="798">
      <c r="I798" s="234"/>
      <c r="J798" s="234"/>
      <c r="K798" s="234"/>
      <c r="L798" s="234"/>
      <c r="M798" s="234"/>
    </row>
    <row r="799">
      <c r="I799" s="234"/>
      <c r="J799" s="234"/>
      <c r="K799" s="234"/>
      <c r="L799" s="234"/>
      <c r="M799" s="234"/>
    </row>
    <row r="800">
      <c r="I800" s="234"/>
      <c r="J800" s="234"/>
      <c r="K800" s="234"/>
      <c r="L800" s="234"/>
      <c r="M800" s="234"/>
    </row>
    <row r="801">
      <c r="I801" s="234"/>
      <c r="J801" s="234"/>
      <c r="K801" s="234"/>
      <c r="L801" s="234"/>
      <c r="M801" s="234"/>
    </row>
    <row r="802">
      <c r="I802" s="234"/>
      <c r="J802" s="234"/>
      <c r="K802" s="234"/>
      <c r="L802" s="234"/>
      <c r="M802" s="234"/>
    </row>
    <row r="803">
      <c r="I803" s="234"/>
      <c r="J803" s="234"/>
      <c r="K803" s="234"/>
      <c r="L803" s="234"/>
      <c r="M803" s="234"/>
    </row>
    <row r="804">
      <c r="I804" s="234"/>
      <c r="J804" s="234"/>
      <c r="K804" s="234"/>
      <c r="L804" s="234"/>
      <c r="M804" s="234"/>
    </row>
    <row r="805">
      <c r="I805" s="234"/>
      <c r="J805" s="234"/>
      <c r="K805" s="234"/>
      <c r="L805" s="234"/>
      <c r="M805" s="234"/>
    </row>
    <row r="806">
      <c r="I806" s="234"/>
      <c r="J806" s="234"/>
      <c r="K806" s="234"/>
      <c r="L806" s="234"/>
      <c r="M806" s="234"/>
    </row>
    <row r="807">
      <c r="I807" s="234"/>
      <c r="J807" s="234"/>
      <c r="K807" s="234"/>
      <c r="L807" s="234"/>
      <c r="M807" s="234"/>
    </row>
    <row r="808">
      <c r="I808" s="234"/>
      <c r="J808" s="234"/>
      <c r="K808" s="234"/>
      <c r="L808" s="234"/>
      <c r="M808" s="234"/>
    </row>
    <row r="809">
      <c r="I809" s="234"/>
      <c r="J809" s="234"/>
      <c r="K809" s="234"/>
      <c r="L809" s="234"/>
      <c r="M809" s="234"/>
    </row>
    <row r="810">
      <c r="I810" s="234"/>
      <c r="J810" s="234"/>
      <c r="K810" s="234"/>
      <c r="L810" s="234"/>
      <c r="M810" s="234"/>
    </row>
    <row r="811">
      <c r="I811" s="234"/>
      <c r="J811" s="234"/>
      <c r="K811" s="234"/>
      <c r="L811" s="234"/>
      <c r="M811" s="234"/>
    </row>
    <row r="812">
      <c r="I812" s="234"/>
      <c r="J812" s="234"/>
      <c r="K812" s="234"/>
      <c r="L812" s="234"/>
      <c r="M812" s="234"/>
    </row>
    <row r="813">
      <c r="I813" s="234"/>
      <c r="J813" s="234"/>
      <c r="K813" s="234"/>
      <c r="L813" s="234"/>
      <c r="M813" s="234"/>
    </row>
    <row r="814">
      <c r="I814" s="234"/>
      <c r="J814" s="234"/>
      <c r="K814" s="234"/>
      <c r="L814" s="234"/>
      <c r="M814" s="234"/>
    </row>
    <row r="815">
      <c r="I815" s="234"/>
      <c r="J815" s="234"/>
      <c r="K815" s="234"/>
      <c r="L815" s="234"/>
      <c r="M815" s="234"/>
    </row>
    <row r="816">
      <c r="I816" s="234"/>
      <c r="J816" s="234"/>
      <c r="K816" s="234"/>
      <c r="L816" s="234"/>
      <c r="M816" s="234"/>
    </row>
    <row r="817">
      <c r="I817" s="234"/>
      <c r="J817" s="234"/>
      <c r="K817" s="234"/>
      <c r="L817" s="234"/>
      <c r="M817" s="234"/>
    </row>
    <row r="818">
      <c r="I818" s="234"/>
      <c r="J818" s="234"/>
      <c r="K818" s="234"/>
      <c r="L818" s="234"/>
      <c r="M818" s="234"/>
    </row>
    <row r="819">
      <c r="I819" s="234"/>
      <c r="J819" s="234"/>
      <c r="K819" s="234"/>
      <c r="L819" s="234"/>
      <c r="M819" s="234"/>
    </row>
    <row r="820">
      <c r="I820" s="234"/>
      <c r="J820" s="234"/>
      <c r="K820" s="234"/>
      <c r="L820" s="234"/>
      <c r="M820" s="234"/>
    </row>
    <row r="821">
      <c r="I821" s="234"/>
      <c r="J821" s="234"/>
      <c r="K821" s="234"/>
      <c r="L821" s="234"/>
      <c r="M821" s="234"/>
    </row>
    <row r="822">
      <c r="I822" s="234"/>
      <c r="J822" s="234"/>
      <c r="K822" s="234"/>
      <c r="L822" s="234"/>
      <c r="M822" s="234"/>
    </row>
    <row r="823">
      <c r="I823" s="234"/>
      <c r="J823" s="234"/>
      <c r="K823" s="234"/>
      <c r="L823" s="234"/>
      <c r="M823" s="234"/>
    </row>
    <row r="824">
      <c r="I824" s="234"/>
      <c r="J824" s="234"/>
      <c r="K824" s="234"/>
      <c r="L824" s="234"/>
      <c r="M824" s="234"/>
    </row>
    <row r="825">
      <c r="I825" s="234"/>
      <c r="J825" s="234"/>
      <c r="K825" s="234"/>
      <c r="L825" s="234"/>
      <c r="M825" s="234"/>
    </row>
    <row r="826">
      <c r="I826" s="234"/>
      <c r="J826" s="234"/>
      <c r="K826" s="234"/>
      <c r="L826" s="234"/>
      <c r="M826" s="234"/>
    </row>
    <row r="827">
      <c r="I827" s="234"/>
      <c r="J827" s="234"/>
      <c r="K827" s="234"/>
      <c r="L827" s="234"/>
      <c r="M827" s="234"/>
    </row>
    <row r="828">
      <c r="I828" s="234"/>
      <c r="J828" s="234"/>
      <c r="K828" s="234"/>
      <c r="L828" s="234"/>
      <c r="M828" s="234"/>
    </row>
    <row r="829">
      <c r="I829" s="234"/>
      <c r="J829" s="234"/>
      <c r="K829" s="234"/>
      <c r="L829" s="234"/>
      <c r="M829" s="234"/>
    </row>
    <row r="830">
      <c r="I830" s="234"/>
      <c r="J830" s="234"/>
      <c r="K830" s="234"/>
      <c r="L830" s="234"/>
      <c r="M830" s="234"/>
    </row>
    <row r="831">
      <c r="I831" s="234"/>
      <c r="J831" s="234"/>
      <c r="K831" s="234"/>
      <c r="L831" s="234"/>
      <c r="M831" s="234"/>
    </row>
    <row r="832">
      <c r="I832" s="234"/>
      <c r="J832" s="234"/>
      <c r="K832" s="234"/>
      <c r="L832" s="234"/>
      <c r="M832" s="234"/>
    </row>
    <row r="833">
      <c r="I833" s="234"/>
      <c r="J833" s="234"/>
      <c r="K833" s="234"/>
      <c r="L833" s="234"/>
      <c r="M833" s="234"/>
    </row>
    <row r="834">
      <c r="I834" s="234"/>
      <c r="J834" s="234"/>
      <c r="K834" s="234"/>
      <c r="L834" s="234"/>
      <c r="M834" s="234"/>
    </row>
    <row r="835">
      <c r="I835" s="234"/>
      <c r="J835" s="234"/>
      <c r="K835" s="234"/>
      <c r="L835" s="234"/>
      <c r="M835" s="234"/>
    </row>
    <row r="836">
      <c r="I836" s="234"/>
      <c r="J836" s="234"/>
      <c r="K836" s="234"/>
      <c r="L836" s="234"/>
      <c r="M836" s="234"/>
    </row>
    <row r="837">
      <c r="I837" s="234"/>
      <c r="J837" s="234"/>
      <c r="K837" s="234"/>
      <c r="L837" s="234"/>
      <c r="M837" s="234"/>
    </row>
    <row r="838">
      <c r="I838" s="234"/>
      <c r="J838" s="234"/>
      <c r="K838" s="234"/>
      <c r="L838" s="234"/>
      <c r="M838" s="234"/>
    </row>
    <row r="839">
      <c r="I839" s="234"/>
      <c r="J839" s="234"/>
      <c r="K839" s="234"/>
      <c r="L839" s="234"/>
      <c r="M839" s="234"/>
    </row>
    <row r="840">
      <c r="I840" s="234"/>
      <c r="J840" s="234"/>
      <c r="K840" s="234"/>
      <c r="L840" s="234"/>
      <c r="M840" s="234"/>
    </row>
    <row r="841">
      <c r="I841" s="234"/>
      <c r="J841" s="234"/>
      <c r="K841" s="234"/>
      <c r="L841" s="234"/>
      <c r="M841" s="234"/>
    </row>
    <row r="842">
      <c r="I842" s="234"/>
      <c r="J842" s="234"/>
      <c r="K842" s="234"/>
      <c r="L842" s="234"/>
      <c r="M842" s="234"/>
    </row>
    <row r="843">
      <c r="I843" s="234"/>
      <c r="J843" s="234"/>
      <c r="K843" s="234"/>
      <c r="L843" s="234"/>
      <c r="M843" s="234"/>
    </row>
    <row r="844">
      <c r="I844" s="234"/>
      <c r="J844" s="234"/>
      <c r="K844" s="234"/>
      <c r="L844" s="234"/>
      <c r="M844" s="234"/>
    </row>
    <row r="845">
      <c r="I845" s="234"/>
      <c r="J845" s="234"/>
      <c r="K845" s="234"/>
      <c r="L845" s="234"/>
      <c r="M845" s="234"/>
    </row>
    <row r="846">
      <c r="I846" s="234"/>
      <c r="J846" s="234"/>
      <c r="K846" s="234"/>
      <c r="L846" s="234"/>
      <c r="M846" s="234"/>
    </row>
    <row r="847">
      <c r="I847" s="234"/>
      <c r="J847" s="234"/>
      <c r="K847" s="234"/>
      <c r="L847" s="234"/>
      <c r="M847" s="234"/>
    </row>
    <row r="848">
      <c r="I848" s="234"/>
      <c r="J848" s="234"/>
      <c r="K848" s="234"/>
      <c r="L848" s="234"/>
      <c r="M848" s="234"/>
    </row>
    <row r="849">
      <c r="I849" s="234"/>
      <c r="J849" s="234"/>
      <c r="K849" s="234"/>
      <c r="L849" s="234"/>
      <c r="M849" s="234"/>
    </row>
    <row r="850">
      <c r="I850" s="234"/>
      <c r="J850" s="234"/>
      <c r="K850" s="234"/>
      <c r="L850" s="234"/>
      <c r="M850" s="234"/>
    </row>
    <row r="851">
      <c r="I851" s="234"/>
      <c r="J851" s="234"/>
      <c r="K851" s="234"/>
      <c r="L851" s="234"/>
      <c r="M851" s="234"/>
    </row>
    <row r="852">
      <c r="I852" s="234"/>
      <c r="J852" s="234"/>
      <c r="K852" s="234"/>
      <c r="L852" s="234"/>
      <c r="M852" s="234"/>
    </row>
    <row r="853">
      <c r="I853" s="234"/>
      <c r="J853" s="234"/>
      <c r="K853" s="234"/>
      <c r="L853" s="234"/>
      <c r="M853" s="234"/>
    </row>
    <row r="854">
      <c r="I854" s="234"/>
      <c r="J854" s="234"/>
      <c r="K854" s="234"/>
      <c r="L854" s="234"/>
      <c r="M854" s="234"/>
    </row>
    <row r="855">
      <c r="I855" s="234"/>
      <c r="J855" s="234"/>
      <c r="K855" s="234"/>
      <c r="L855" s="234"/>
      <c r="M855" s="234"/>
    </row>
    <row r="856">
      <c r="I856" s="234"/>
      <c r="J856" s="234"/>
      <c r="K856" s="234"/>
      <c r="L856" s="234"/>
      <c r="M856" s="234"/>
    </row>
    <row r="857">
      <c r="I857" s="234"/>
      <c r="J857" s="234"/>
      <c r="K857" s="234"/>
      <c r="L857" s="234"/>
      <c r="M857" s="234"/>
    </row>
    <row r="858">
      <c r="I858" s="234"/>
      <c r="J858" s="234"/>
      <c r="K858" s="234"/>
      <c r="L858" s="234"/>
      <c r="M858" s="234"/>
    </row>
    <row r="859">
      <c r="I859" s="234"/>
      <c r="J859" s="234"/>
      <c r="K859" s="234"/>
      <c r="L859" s="234"/>
      <c r="M859" s="234"/>
    </row>
    <row r="860">
      <c r="I860" s="234"/>
      <c r="J860" s="234"/>
      <c r="K860" s="234"/>
      <c r="L860" s="234"/>
      <c r="M860" s="234"/>
    </row>
    <row r="861">
      <c r="I861" s="234"/>
      <c r="J861" s="234"/>
      <c r="K861" s="234"/>
      <c r="L861" s="234"/>
      <c r="M861" s="234"/>
    </row>
    <row r="862">
      <c r="I862" s="234"/>
      <c r="J862" s="234"/>
      <c r="K862" s="234"/>
      <c r="L862" s="234"/>
      <c r="M862" s="234"/>
    </row>
    <row r="863">
      <c r="I863" s="234"/>
      <c r="J863" s="234"/>
      <c r="K863" s="234"/>
      <c r="L863" s="234"/>
      <c r="M863" s="234"/>
    </row>
    <row r="864">
      <c r="I864" s="234"/>
      <c r="J864" s="234"/>
      <c r="K864" s="234"/>
      <c r="L864" s="234"/>
      <c r="M864" s="234"/>
    </row>
    <row r="865">
      <c r="I865" s="234"/>
      <c r="J865" s="234"/>
      <c r="K865" s="234"/>
      <c r="L865" s="234"/>
      <c r="M865" s="234"/>
    </row>
    <row r="866">
      <c r="I866" s="234"/>
      <c r="J866" s="234"/>
      <c r="K866" s="234"/>
      <c r="L866" s="234"/>
      <c r="M866" s="234"/>
    </row>
    <row r="867">
      <c r="I867" s="234"/>
      <c r="J867" s="234"/>
      <c r="K867" s="234"/>
      <c r="L867" s="234"/>
      <c r="M867" s="234"/>
    </row>
    <row r="868">
      <c r="I868" s="234"/>
      <c r="J868" s="234"/>
      <c r="K868" s="234"/>
      <c r="L868" s="234"/>
      <c r="M868" s="234"/>
    </row>
    <row r="869">
      <c r="I869" s="234"/>
      <c r="J869" s="234"/>
      <c r="K869" s="234"/>
      <c r="L869" s="234"/>
      <c r="M869" s="234"/>
    </row>
    <row r="870">
      <c r="I870" s="234"/>
      <c r="J870" s="234"/>
      <c r="K870" s="234"/>
      <c r="L870" s="234"/>
      <c r="M870" s="234"/>
    </row>
    <row r="871">
      <c r="I871" s="234"/>
      <c r="J871" s="234"/>
      <c r="K871" s="234"/>
      <c r="L871" s="234"/>
      <c r="M871" s="234"/>
    </row>
    <row r="872">
      <c r="I872" s="234"/>
      <c r="J872" s="234"/>
      <c r="K872" s="234"/>
      <c r="L872" s="234"/>
      <c r="M872" s="234"/>
    </row>
    <row r="873">
      <c r="I873" s="234"/>
      <c r="J873" s="234"/>
      <c r="K873" s="234"/>
      <c r="L873" s="234"/>
      <c r="M873" s="234"/>
    </row>
    <row r="874">
      <c r="I874" s="234"/>
      <c r="J874" s="234"/>
      <c r="K874" s="234"/>
      <c r="L874" s="234"/>
      <c r="M874" s="234"/>
    </row>
    <row r="875">
      <c r="I875" s="234"/>
      <c r="J875" s="234"/>
      <c r="K875" s="234"/>
      <c r="L875" s="234"/>
      <c r="M875" s="234"/>
    </row>
    <row r="876">
      <c r="I876" s="234"/>
      <c r="J876" s="234"/>
      <c r="K876" s="234"/>
      <c r="L876" s="234"/>
      <c r="M876" s="234"/>
    </row>
    <row r="877">
      <c r="I877" s="234"/>
      <c r="J877" s="234"/>
      <c r="K877" s="234"/>
      <c r="L877" s="234"/>
      <c r="M877" s="234"/>
    </row>
    <row r="878">
      <c r="I878" s="234"/>
      <c r="J878" s="234"/>
      <c r="K878" s="234"/>
      <c r="L878" s="234"/>
      <c r="M878" s="234"/>
    </row>
    <row r="879">
      <c r="I879" s="234"/>
      <c r="J879" s="234"/>
      <c r="K879" s="234"/>
      <c r="L879" s="234"/>
      <c r="M879" s="234"/>
    </row>
    <row r="880">
      <c r="I880" s="234"/>
      <c r="J880" s="234"/>
      <c r="K880" s="234"/>
      <c r="L880" s="234"/>
      <c r="M880" s="234"/>
    </row>
    <row r="881">
      <c r="I881" s="234"/>
      <c r="J881" s="234"/>
      <c r="K881" s="234"/>
      <c r="L881" s="234"/>
      <c r="M881" s="234"/>
    </row>
    <row r="882">
      <c r="I882" s="234"/>
      <c r="J882" s="234"/>
      <c r="K882" s="234"/>
      <c r="L882" s="234"/>
      <c r="M882" s="234"/>
    </row>
    <row r="883">
      <c r="I883" s="234"/>
      <c r="J883" s="234"/>
      <c r="K883" s="234"/>
      <c r="L883" s="234"/>
      <c r="M883" s="234"/>
    </row>
    <row r="884">
      <c r="I884" s="234"/>
      <c r="J884" s="234"/>
      <c r="K884" s="234"/>
      <c r="L884" s="234"/>
      <c r="M884" s="234"/>
    </row>
    <row r="885">
      <c r="I885" s="234"/>
      <c r="J885" s="234"/>
      <c r="K885" s="234"/>
      <c r="L885" s="234"/>
      <c r="M885" s="234"/>
    </row>
    <row r="886">
      <c r="I886" s="234"/>
      <c r="J886" s="234"/>
      <c r="K886" s="234"/>
      <c r="L886" s="234"/>
      <c r="M886" s="234"/>
    </row>
    <row r="887">
      <c r="I887" s="234"/>
      <c r="J887" s="234"/>
      <c r="K887" s="234"/>
      <c r="L887" s="234"/>
      <c r="M887" s="234"/>
    </row>
    <row r="888">
      <c r="I888" s="234"/>
      <c r="J888" s="234"/>
      <c r="K888" s="234"/>
      <c r="L888" s="234"/>
      <c r="M888" s="234"/>
    </row>
    <row r="889">
      <c r="I889" s="234"/>
      <c r="J889" s="234"/>
      <c r="K889" s="234"/>
      <c r="L889" s="234"/>
      <c r="M889" s="234"/>
    </row>
    <row r="890">
      <c r="I890" s="234"/>
      <c r="J890" s="234"/>
      <c r="K890" s="234"/>
      <c r="L890" s="234"/>
      <c r="M890" s="234"/>
    </row>
    <row r="891">
      <c r="I891" s="234"/>
      <c r="J891" s="234"/>
      <c r="K891" s="234"/>
      <c r="L891" s="234"/>
      <c r="M891" s="234"/>
    </row>
    <row r="892">
      <c r="I892" s="234"/>
      <c r="J892" s="234"/>
      <c r="K892" s="234"/>
      <c r="L892" s="234"/>
      <c r="M892" s="234"/>
    </row>
    <row r="893">
      <c r="I893" s="234"/>
      <c r="J893" s="234"/>
      <c r="K893" s="234"/>
      <c r="L893" s="234"/>
      <c r="M893" s="234"/>
    </row>
    <row r="894">
      <c r="I894" s="234"/>
      <c r="J894" s="234"/>
      <c r="K894" s="234"/>
      <c r="L894" s="234"/>
      <c r="M894" s="234"/>
    </row>
    <row r="895">
      <c r="I895" s="234"/>
      <c r="J895" s="234"/>
      <c r="K895" s="234"/>
      <c r="L895" s="234"/>
      <c r="M895" s="234"/>
    </row>
    <row r="896">
      <c r="I896" s="234"/>
      <c r="J896" s="234"/>
      <c r="K896" s="234"/>
      <c r="L896" s="234"/>
      <c r="M896" s="234"/>
    </row>
    <row r="897">
      <c r="I897" s="234"/>
      <c r="J897" s="234"/>
      <c r="K897" s="234"/>
      <c r="L897" s="234"/>
      <c r="M897" s="234"/>
    </row>
    <row r="898">
      <c r="I898" s="234"/>
      <c r="J898" s="234"/>
      <c r="K898" s="234"/>
      <c r="L898" s="234"/>
      <c r="M898" s="234"/>
    </row>
    <row r="899">
      <c r="I899" s="234"/>
      <c r="J899" s="234"/>
      <c r="K899" s="234"/>
      <c r="L899" s="234"/>
      <c r="M899" s="234"/>
    </row>
    <row r="900">
      <c r="I900" s="234"/>
      <c r="J900" s="234"/>
      <c r="K900" s="234"/>
      <c r="L900" s="234"/>
      <c r="M900" s="234"/>
    </row>
    <row r="901">
      <c r="I901" s="234"/>
      <c r="J901" s="234"/>
      <c r="K901" s="234"/>
      <c r="L901" s="234"/>
      <c r="M901" s="234"/>
    </row>
    <row r="902">
      <c r="I902" s="234"/>
      <c r="J902" s="234"/>
      <c r="K902" s="234"/>
      <c r="L902" s="234"/>
      <c r="M902" s="234"/>
    </row>
    <row r="903">
      <c r="I903" s="234"/>
      <c r="J903" s="234"/>
      <c r="K903" s="234"/>
      <c r="L903" s="234"/>
      <c r="M903" s="234"/>
    </row>
    <row r="904">
      <c r="I904" s="234"/>
      <c r="J904" s="234"/>
      <c r="K904" s="234"/>
      <c r="L904" s="234"/>
      <c r="M904" s="234"/>
    </row>
    <row r="905">
      <c r="I905" s="234"/>
      <c r="J905" s="234"/>
      <c r="K905" s="234"/>
      <c r="L905" s="234"/>
      <c r="M905" s="234"/>
    </row>
    <row r="906">
      <c r="I906" s="234"/>
      <c r="J906" s="234"/>
      <c r="K906" s="234"/>
      <c r="L906" s="234"/>
      <c r="M906" s="234"/>
    </row>
    <row r="907">
      <c r="I907" s="234"/>
      <c r="J907" s="234"/>
      <c r="K907" s="234"/>
      <c r="L907" s="234"/>
      <c r="M907" s="234"/>
    </row>
    <row r="908">
      <c r="I908" s="234"/>
      <c r="J908" s="234"/>
      <c r="K908" s="234"/>
      <c r="L908" s="234"/>
      <c r="M908" s="234"/>
    </row>
    <row r="909">
      <c r="I909" s="234"/>
      <c r="J909" s="234"/>
      <c r="K909" s="234"/>
      <c r="L909" s="234"/>
      <c r="M909" s="234"/>
    </row>
    <row r="910">
      <c r="I910" s="234"/>
      <c r="J910" s="234"/>
      <c r="K910" s="234"/>
      <c r="L910" s="234"/>
      <c r="M910" s="234"/>
    </row>
    <row r="911">
      <c r="I911" s="234"/>
      <c r="J911" s="234"/>
      <c r="K911" s="234"/>
      <c r="L911" s="234"/>
      <c r="M911" s="234"/>
    </row>
    <row r="912">
      <c r="I912" s="234"/>
      <c r="J912" s="234"/>
      <c r="K912" s="234"/>
      <c r="L912" s="234"/>
      <c r="M912" s="234"/>
    </row>
    <row r="913">
      <c r="I913" s="234"/>
      <c r="J913" s="234"/>
      <c r="K913" s="234"/>
      <c r="L913" s="234"/>
      <c r="M913" s="234"/>
    </row>
    <row r="914">
      <c r="I914" s="234"/>
      <c r="J914" s="234"/>
      <c r="K914" s="234"/>
      <c r="L914" s="234"/>
      <c r="M914" s="234"/>
    </row>
    <row r="915">
      <c r="I915" s="234"/>
      <c r="J915" s="234"/>
      <c r="K915" s="234"/>
      <c r="L915" s="234"/>
      <c r="M915" s="234"/>
    </row>
    <row r="916">
      <c r="I916" s="234"/>
      <c r="J916" s="234"/>
      <c r="K916" s="234"/>
      <c r="L916" s="234"/>
      <c r="M916" s="234"/>
    </row>
    <row r="917">
      <c r="I917" s="234"/>
      <c r="J917" s="234"/>
      <c r="K917" s="234"/>
      <c r="L917" s="234"/>
      <c r="M917" s="234"/>
    </row>
    <row r="918">
      <c r="I918" s="234"/>
      <c r="J918" s="234"/>
      <c r="K918" s="234"/>
      <c r="L918" s="234"/>
      <c r="M918" s="234"/>
    </row>
    <row r="919">
      <c r="I919" s="234"/>
      <c r="J919" s="234"/>
      <c r="K919" s="234"/>
      <c r="L919" s="234"/>
      <c r="M919" s="234"/>
    </row>
    <row r="920">
      <c r="I920" s="234"/>
      <c r="J920" s="234"/>
      <c r="K920" s="234"/>
      <c r="L920" s="234"/>
      <c r="M920" s="234"/>
    </row>
    <row r="921">
      <c r="I921" s="234"/>
      <c r="J921" s="234"/>
      <c r="K921" s="234"/>
      <c r="L921" s="234"/>
      <c r="M921" s="234"/>
    </row>
    <row r="922">
      <c r="I922" s="234"/>
      <c r="J922" s="234"/>
      <c r="K922" s="234"/>
      <c r="L922" s="234"/>
      <c r="M922" s="234"/>
    </row>
    <row r="923">
      <c r="I923" s="234"/>
      <c r="J923" s="234"/>
      <c r="K923" s="234"/>
      <c r="L923" s="234"/>
      <c r="M923" s="234"/>
    </row>
    <row r="924">
      <c r="I924" s="234"/>
      <c r="J924" s="234"/>
      <c r="K924" s="234"/>
      <c r="L924" s="234"/>
      <c r="M924" s="234"/>
    </row>
    <row r="925">
      <c r="I925" s="234"/>
      <c r="J925" s="234"/>
      <c r="K925" s="234"/>
      <c r="L925" s="234"/>
      <c r="M925" s="234"/>
    </row>
    <row r="926">
      <c r="I926" s="234"/>
      <c r="J926" s="234"/>
      <c r="K926" s="234"/>
      <c r="L926" s="234"/>
      <c r="M926" s="234"/>
    </row>
    <row r="927">
      <c r="I927" s="234"/>
      <c r="J927" s="234"/>
      <c r="K927" s="234"/>
      <c r="L927" s="234"/>
      <c r="M927" s="234"/>
    </row>
    <row r="928">
      <c r="I928" s="234"/>
      <c r="J928" s="234"/>
      <c r="K928" s="234"/>
      <c r="L928" s="234"/>
      <c r="M928" s="234"/>
    </row>
    <row r="929">
      <c r="I929" s="234"/>
      <c r="J929" s="234"/>
      <c r="K929" s="234"/>
      <c r="L929" s="234"/>
      <c r="M929" s="234"/>
    </row>
    <row r="930">
      <c r="I930" s="234"/>
      <c r="J930" s="234"/>
      <c r="K930" s="234"/>
      <c r="L930" s="234"/>
      <c r="M930" s="234"/>
    </row>
    <row r="931">
      <c r="I931" s="234"/>
      <c r="J931" s="234"/>
      <c r="K931" s="234"/>
      <c r="L931" s="234"/>
      <c r="M931" s="234"/>
    </row>
    <row r="932">
      <c r="I932" s="234"/>
      <c r="J932" s="234"/>
      <c r="K932" s="234"/>
      <c r="L932" s="234"/>
      <c r="M932" s="234"/>
    </row>
    <row r="933">
      <c r="I933" s="234"/>
      <c r="J933" s="234"/>
      <c r="K933" s="234"/>
      <c r="L933" s="234"/>
      <c r="M933" s="234"/>
    </row>
    <row r="934">
      <c r="I934" s="234"/>
      <c r="J934" s="234"/>
      <c r="K934" s="234"/>
      <c r="L934" s="234"/>
      <c r="M934" s="234"/>
    </row>
    <row r="935">
      <c r="I935" s="234"/>
      <c r="J935" s="234"/>
      <c r="K935" s="234"/>
      <c r="L935" s="234"/>
      <c r="M935" s="234"/>
    </row>
    <row r="936">
      <c r="I936" s="234"/>
      <c r="J936" s="234"/>
      <c r="K936" s="234"/>
      <c r="L936" s="234"/>
      <c r="M936" s="234"/>
    </row>
    <row r="937">
      <c r="I937" s="234"/>
      <c r="J937" s="234"/>
      <c r="K937" s="234"/>
      <c r="L937" s="234"/>
      <c r="M937" s="234"/>
    </row>
    <row r="938">
      <c r="I938" s="234"/>
      <c r="J938" s="234"/>
      <c r="K938" s="234"/>
      <c r="L938" s="234"/>
      <c r="M938" s="234"/>
    </row>
    <row r="939">
      <c r="I939" s="234"/>
      <c r="J939" s="234"/>
      <c r="K939" s="234"/>
      <c r="L939" s="234"/>
      <c r="M939" s="234"/>
    </row>
    <row r="940">
      <c r="I940" s="234"/>
      <c r="J940" s="234"/>
      <c r="K940" s="234"/>
      <c r="L940" s="234"/>
      <c r="M940" s="234"/>
    </row>
    <row r="941">
      <c r="I941" s="234"/>
      <c r="J941" s="234"/>
      <c r="K941" s="234"/>
      <c r="L941" s="234"/>
      <c r="M941" s="234"/>
    </row>
    <row r="942">
      <c r="I942" s="234"/>
      <c r="J942" s="234"/>
      <c r="K942" s="234"/>
      <c r="L942" s="234"/>
      <c r="M942" s="234"/>
    </row>
    <row r="943">
      <c r="I943" s="234"/>
      <c r="J943" s="234"/>
      <c r="K943" s="234"/>
      <c r="L943" s="234"/>
      <c r="M943" s="234"/>
    </row>
    <row r="944">
      <c r="I944" s="234"/>
      <c r="J944" s="234"/>
      <c r="K944" s="234"/>
      <c r="L944" s="234"/>
      <c r="M944" s="234"/>
    </row>
    <row r="945">
      <c r="I945" s="234"/>
      <c r="J945" s="234"/>
      <c r="K945" s="234"/>
      <c r="L945" s="234"/>
      <c r="M945" s="234"/>
    </row>
    <row r="946">
      <c r="I946" s="234"/>
      <c r="J946" s="234"/>
      <c r="K946" s="234"/>
      <c r="L946" s="234"/>
      <c r="M946" s="234"/>
    </row>
    <row r="947">
      <c r="I947" s="234"/>
      <c r="J947" s="234"/>
      <c r="K947" s="234"/>
      <c r="L947" s="234"/>
      <c r="M947" s="234"/>
    </row>
  </sheetData>
  <mergeCells count="9">
    <mergeCell ref="A120:T120"/>
    <mergeCell ref="A137:T137"/>
    <mergeCell ref="A1:T1"/>
    <mergeCell ref="A18:T18"/>
    <mergeCell ref="A34:T34"/>
    <mergeCell ref="A51:T51"/>
    <mergeCell ref="A68:T68"/>
    <mergeCell ref="A85:T85"/>
    <mergeCell ref="A102:T102"/>
  </mergeCells>
  <conditionalFormatting sqref="V2:AC17 V19:AC33 V35:AC50 V52:AC67 V69:AC84 V86:AC947">
    <cfRule type="expression" dxfId="2" priority="1">
      <formula>$X2="Parker"</formula>
    </cfRule>
  </conditionalFormatting>
  <conditionalFormatting sqref="V2:AC17 V19:AC33 V35:AC50 V52:AC67 V69:AC84 V86:AC947">
    <cfRule type="expression" dxfId="3" priority="2">
      <formula>$X2="Giacomo"</formula>
    </cfRule>
  </conditionalFormatting>
  <conditionalFormatting sqref="V2:AC17 V19:AC33 V35:AC50 V52:AC67 V69:AC84 V86:AC947">
    <cfRule type="expression" dxfId="1" priority="3">
      <formula>$X2="Logan"</formula>
    </cfRule>
  </conditionalFormatting>
  <conditionalFormatting sqref="V2:AC17 V19:AC33 V35:AC50 V52:AC67 V69:AC84 V86:AC947">
    <cfRule type="expression" dxfId="4" priority="4">
      <formula>$X2="Rosey"</formula>
    </cfRule>
  </conditionalFormatting>
  <conditionalFormatting sqref="V2:AC17 V19:AC33 V35:AC50 V52:AC67 V69:AC84 V86:AC947">
    <cfRule type="expression" dxfId="5" priority="5">
      <formula>$X2="TTAC"</formula>
    </cfRule>
  </conditionalFormatting>
  <conditionalFormatting sqref="V2:AC17 V19:AC33 V35:AC50 V52:AC67 V69:AC84 V86:AC947">
    <cfRule type="expression" dxfId="6" priority="6">
      <formula>$X2="Weston"</formula>
    </cfRule>
  </conditionalFormatting>
  <conditionalFormatting sqref="V2:AC17 V19:AC33 V35:AC50 V52:AC67 V69:AC84 V86:AC947">
    <cfRule type="expression" dxfId="7" priority="7">
      <formula>$X2="Jake"</formula>
    </cfRule>
  </conditionalFormatting>
  <conditionalFormatting sqref="V2:AC17 V19:AC33 V35:AC50 V52:AC67 V69:AC84 V86:AC947">
    <cfRule type="expression" dxfId="9" priority="8">
      <formula>$X2="Flocco"</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11.71"/>
    <col customWidth="1" min="2" max="8" width="2.71"/>
    <col customWidth="1" min="9" max="9" width="25.29"/>
    <col customWidth="1" min="10" max="10" width="7.43"/>
    <col customWidth="1" min="11" max="11" width="25.29"/>
    <col customWidth="1" min="12" max="12" width="7.43"/>
    <col customWidth="1" min="13" max="13" width="30.86"/>
    <col customWidth="1" min="14" max="20" width="2.71"/>
    <col customWidth="1" min="22" max="22" width="7.86"/>
    <col customWidth="1" min="23" max="23" width="11.86"/>
    <col customWidth="1" min="24" max="24" width="8.71"/>
    <col customWidth="1" min="25" max="25" width="8.0"/>
    <col customWidth="1" min="26" max="26" width="6.57"/>
    <col customWidth="1" min="27" max="27" width="9.71"/>
    <col customWidth="1" min="28" max="28" width="30.86"/>
    <col customWidth="1" min="29" max="29" width="68.57"/>
  </cols>
  <sheetData>
    <row r="1">
      <c r="A1" s="29" t="s">
        <v>408</v>
      </c>
      <c r="V1" s="262" t="s">
        <v>367</v>
      </c>
      <c r="W1" s="262" t="s">
        <v>19</v>
      </c>
      <c r="X1" s="262" t="s">
        <v>16</v>
      </c>
      <c r="Y1" s="262" t="s">
        <v>75</v>
      </c>
      <c r="Z1" s="262" t="s">
        <v>76</v>
      </c>
      <c r="AA1" s="262" t="s">
        <v>78</v>
      </c>
      <c r="AB1" s="262" t="s">
        <v>368</v>
      </c>
      <c r="AC1" s="262" t="s">
        <v>82</v>
      </c>
      <c r="AD1" s="177"/>
    </row>
    <row r="2">
      <c r="A2" s="262" t="s">
        <v>369</v>
      </c>
      <c r="B2" s="262" t="s">
        <v>370</v>
      </c>
      <c r="C2" s="262" t="s">
        <v>371</v>
      </c>
      <c r="D2" s="262" t="s">
        <v>372</v>
      </c>
      <c r="E2" s="262" t="s">
        <v>373</v>
      </c>
      <c r="F2" s="262" t="s">
        <v>374</v>
      </c>
      <c r="G2" s="262" t="s">
        <v>51</v>
      </c>
      <c r="H2" s="262" t="s">
        <v>412</v>
      </c>
      <c r="I2" s="29" t="s">
        <v>376</v>
      </c>
      <c r="J2" s="29" t="s">
        <v>377</v>
      </c>
      <c r="K2" s="29" t="s">
        <v>21</v>
      </c>
      <c r="L2" s="29" t="s">
        <v>378</v>
      </c>
      <c r="M2" s="29" t="s">
        <v>379</v>
      </c>
      <c r="N2" s="262" t="s">
        <v>412</v>
      </c>
      <c r="O2" s="262" t="s">
        <v>51</v>
      </c>
      <c r="P2" s="262" t="s">
        <v>374</v>
      </c>
      <c r="Q2" s="262" t="s">
        <v>373</v>
      </c>
      <c r="R2" s="262" t="s">
        <v>372</v>
      </c>
      <c r="S2" s="262" t="s">
        <v>371</v>
      </c>
      <c r="T2" s="262" t="s">
        <v>370</v>
      </c>
      <c r="V2" s="298">
        <v>3.0</v>
      </c>
      <c r="W2" s="264">
        <f>IFERROR(__xludf.DUMMYFUNCTION("FILTER(Rankings!D:J, Rankings!U:U = TRUE, Rankings!D:D &lt; DATE(2025,9,30))"),45908.0)</f>
        <v>45908</v>
      </c>
      <c r="X2" s="265" t="str">
        <f>IFERROR(__xludf.DUMMYFUNCTION("""COMPUTED_VALUE"""),"Parker")</f>
        <v>Parker</v>
      </c>
      <c r="Y2" s="266">
        <f>IFERROR(__xludf.DUMMYFUNCTION("""COMPUTED_VALUE"""),2.142857142857143)</f>
        <v>2.142857143</v>
      </c>
      <c r="Z2" s="266">
        <f>IFERROR(__xludf.DUMMYFUNCTION("""COMPUTED_VALUE"""),0.6388765649999398)</f>
        <v>0.638876565</v>
      </c>
      <c r="AA2" s="266">
        <f>IFERROR(__xludf.DUMMYFUNCTION("""COMPUTED_VALUE"""),2.1666666666666665)</f>
        <v>2.166666667</v>
      </c>
      <c r="AB2" s="265" t="str">
        <f>IFERROR(__xludf.DUMMYFUNCTION("""COMPUTED_VALUE"""),"Send it Back")</f>
        <v>Send it Back</v>
      </c>
      <c r="AC2" s="267" t="str">
        <f>IFERROR(__xludf.DUMMYFUNCTION("""COMPUTED_VALUE"""),"Don West")</f>
        <v>Don West</v>
      </c>
    </row>
    <row r="3">
      <c r="A3" s="268" t="s">
        <v>380</v>
      </c>
      <c r="B3" s="269" t="s">
        <v>381</v>
      </c>
      <c r="C3" s="270" t="s">
        <v>382</v>
      </c>
      <c r="D3" s="283"/>
      <c r="E3" s="272" t="s">
        <v>382</v>
      </c>
      <c r="F3" s="273" t="s">
        <v>382</v>
      </c>
      <c r="G3" s="274" t="s">
        <v>382</v>
      </c>
      <c r="H3" s="301" t="s">
        <v>382</v>
      </c>
      <c r="I3" s="276" t="str">
        <f>K5</f>
        <v>TEMPTATION</v>
      </c>
      <c r="J3" s="38">
        <f t="shared" ref="J3:J11" si="1">COUNTIF(B3:H3,"x")</f>
        <v>6</v>
      </c>
      <c r="K3" s="276" t="str">
        <f t="shared" ref="K3:K11" si="2">IF(J3&gt;=4,I3,IF(L3&gt;=4,M3,"TBD"))</f>
        <v>TEMPTATION</v>
      </c>
      <c r="L3" s="38">
        <f t="shared" ref="L3:L11" si="3">COUNTIF(N3:T3,"x")</f>
        <v>1</v>
      </c>
      <c r="M3" s="281" t="str">
        <f>K4</f>
        <v>Send it Back</v>
      </c>
      <c r="N3" s="303"/>
      <c r="O3" s="284"/>
      <c r="P3" s="282"/>
      <c r="Q3" s="278"/>
      <c r="R3" s="271" t="s">
        <v>381</v>
      </c>
      <c r="S3" s="279"/>
      <c r="T3" s="280"/>
      <c r="V3" s="298">
        <v>2.0</v>
      </c>
      <c r="W3" s="264">
        <f>IFERROR(__xludf.DUMMYFUNCTION("""COMPUTED_VALUE"""),45910.0)</f>
        <v>45910</v>
      </c>
      <c r="X3" s="265" t="str">
        <f>IFERROR(__xludf.DUMMYFUNCTION("""COMPUTED_VALUE"""),"Giacomo")</f>
        <v>Giacomo</v>
      </c>
      <c r="Y3" s="266">
        <f>IFERROR(__xludf.DUMMYFUNCTION("""COMPUTED_VALUE"""),1.8571428571428572)</f>
        <v>1.857142857</v>
      </c>
      <c r="Z3" s="266">
        <f>IFERROR(__xludf.DUMMYFUNCTION("""COMPUTED_VALUE"""),0.8329931278350429)</f>
        <v>0.8329931278</v>
      </c>
      <c r="AA3" s="266">
        <f>IFERROR(__xludf.DUMMYFUNCTION("""COMPUTED_VALUE"""),2.0)</f>
        <v>2</v>
      </c>
      <c r="AB3" s="265" t="str">
        <f>IFERROR(__xludf.DUMMYFUNCTION("""COMPUTED_VALUE"""),"SEE U DANCE")</f>
        <v>SEE U DANCE</v>
      </c>
      <c r="AC3" s="267" t="str">
        <f>IFERROR(__xludf.DUMMYFUNCTION("""COMPUTED_VALUE"""),"Joey Valence &amp; Brae, Rebecca Black")</f>
        <v>Joey Valence &amp; Brae, Rebecca Black</v>
      </c>
    </row>
    <row r="4">
      <c r="A4" s="268" t="s">
        <v>385</v>
      </c>
      <c r="B4" s="269" t="s">
        <v>381</v>
      </c>
      <c r="C4" s="279"/>
      <c r="D4" s="271" t="s">
        <v>381</v>
      </c>
      <c r="E4" s="278"/>
      <c r="F4" s="273" t="s">
        <v>382</v>
      </c>
      <c r="G4" s="284"/>
      <c r="H4" s="303"/>
      <c r="I4" s="305" t="str">
        <f t="shared" ref="I4:I5" si="4">K8</f>
        <v>SEE U DANCE</v>
      </c>
      <c r="J4" s="38">
        <f t="shared" si="1"/>
        <v>3</v>
      </c>
      <c r="K4" s="281" t="str">
        <f t="shared" si="2"/>
        <v>Send it Back</v>
      </c>
      <c r="L4" s="38">
        <f t="shared" si="3"/>
        <v>4</v>
      </c>
      <c r="M4" s="281" t="str">
        <f>K7</f>
        <v>Send it Back</v>
      </c>
      <c r="N4" s="301" t="s">
        <v>382</v>
      </c>
      <c r="O4" s="274" t="s">
        <v>382</v>
      </c>
      <c r="P4" s="282"/>
      <c r="Q4" s="272" t="s">
        <v>382</v>
      </c>
      <c r="R4" s="283"/>
      <c r="S4" s="270" t="s">
        <v>382</v>
      </c>
      <c r="T4" s="280"/>
      <c r="V4" s="304">
        <v>8.0</v>
      </c>
      <c r="W4" s="264">
        <f>IFERROR(__xludf.DUMMYFUNCTION("""COMPUTED_VALUE"""),45912.0)</f>
        <v>45912</v>
      </c>
      <c r="X4" s="265" t="str">
        <f>IFERROR(__xludf.DUMMYFUNCTION("""COMPUTED_VALUE"""),"Rosey")</f>
        <v>Rosey</v>
      </c>
      <c r="Y4" s="266">
        <f>IFERROR(__xludf.DUMMYFUNCTION("""COMPUTED_VALUE"""),2.857142857142857)</f>
        <v>2.857142857</v>
      </c>
      <c r="Z4" s="266">
        <f>IFERROR(__xludf.DUMMYFUNCTION("""COMPUTED_VALUE"""),1.8070158058105026)</f>
        <v>1.807015806</v>
      </c>
      <c r="AA4" s="266">
        <f>IFERROR(__xludf.DUMMYFUNCTION("""COMPUTED_VALUE"""),3.1666666666666665)</f>
        <v>3.166666667</v>
      </c>
      <c r="AB4" s="265" t="str">
        <f>IFERROR(__xludf.DUMMYFUNCTION("""COMPUTED_VALUE"""),"Helena Beat")</f>
        <v>Helena Beat</v>
      </c>
      <c r="AC4" s="267" t="str">
        <f>IFERROR(__xludf.DUMMYFUNCTION("""COMPUTED_VALUE"""),"Foster the People")</f>
        <v>Foster the People</v>
      </c>
    </row>
    <row r="5">
      <c r="A5" s="268" t="s">
        <v>389</v>
      </c>
      <c r="B5" s="280"/>
      <c r="C5" s="270" t="s">
        <v>381</v>
      </c>
      <c r="D5" s="271" t="s">
        <v>381</v>
      </c>
      <c r="E5" s="272" t="s">
        <v>382</v>
      </c>
      <c r="F5" s="273" t="s">
        <v>382</v>
      </c>
      <c r="G5" s="284"/>
      <c r="H5" s="301" t="s">
        <v>382</v>
      </c>
      <c r="I5" s="276" t="str">
        <f t="shared" si="4"/>
        <v>TEMPTATION</v>
      </c>
      <c r="J5" s="38">
        <f t="shared" si="1"/>
        <v>5</v>
      </c>
      <c r="K5" s="276" t="str">
        <f t="shared" si="2"/>
        <v>TEMPTATION</v>
      </c>
      <c r="L5" s="38">
        <f t="shared" si="3"/>
        <v>1</v>
      </c>
      <c r="M5" s="302" t="str">
        <f>K6</f>
        <v>Worlds away</v>
      </c>
      <c r="N5" s="303"/>
      <c r="O5" s="274" t="s">
        <v>382</v>
      </c>
      <c r="P5" s="282"/>
      <c r="Q5" s="278"/>
      <c r="R5" s="283"/>
      <c r="S5" s="279"/>
      <c r="T5" s="280"/>
      <c r="V5" s="298">
        <v>4.0</v>
      </c>
      <c r="W5" s="264">
        <f>IFERROR(__xludf.DUMMYFUNCTION("""COMPUTED_VALUE"""),45915.0)</f>
        <v>45915</v>
      </c>
      <c r="X5" s="265" t="str">
        <f>IFERROR(__xludf.DUMMYFUNCTION("""COMPUTED_VALUE"""),"Rosey")</f>
        <v>Rosey</v>
      </c>
      <c r="Y5" s="266">
        <f>IFERROR(__xludf.DUMMYFUNCTION("""COMPUTED_VALUE"""),2.4285714285714284)</f>
        <v>2.428571429</v>
      </c>
      <c r="Z5" s="266">
        <f>IFERROR(__xludf.DUMMYFUNCTION("""COMPUTED_VALUE"""),2.1285234893930483)</f>
        <v>2.128523489</v>
      </c>
      <c r="AA5" s="266">
        <f>IFERROR(__xludf.DUMMYFUNCTION("""COMPUTED_VALUE"""),2.6666666666666665)</f>
        <v>2.666666667</v>
      </c>
      <c r="AB5" s="265" t="str">
        <f>IFERROR(__xludf.DUMMYFUNCTION("""COMPUTED_VALUE"""),"On My Own")</f>
        <v>On My Own</v>
      </c>
      <c r="AC5" s="267" t="str">
        <f>IFERROR(__xludf.DUMMYFUNCTION("""COMPUTED_VALUE"""),"Jaden, Kid Cudi")</f>
        <v>Jaden, Kid Cudi</v>
      </c>
    </row>
    <row r="6">
      <c r="A6" s="39" t="s">
        <v>390</v>
      </c>
      <c r="B6" s="280"/>
      <c r="C6" s="279"/>
      <c r="D6" s="283"/>
      <c r="E6" s="272" t="s">
        <v>382</v>
      </c>
      <c r="F6" s="282"/>
      <c r="G6" s="284"/>
      <c r="H6" s="301" t="s">
        <v>382</v>
      </c>
      <c r="I6" s="276" t="s">
        <v>282</v>
      </c>
      <c r="J6" s="38">
        <f t="shared" si="1"/>
        <v>2</v>
      </c>
      <c r="K6" s="302" t="str">
        <f t="shared" si="2"/>
        <v>Worlds away</v>
      </c>
      <c r="L6" s="38">
        <f t="shared" si="3"/>
        <v>5</v>
      </c>
      <c r="M6" s="302" t="s">
        <v>362</v>
      </c>
      <c r="N6" s="303"/>
      <c r="O6" s="274" t="s">
        <v>382</v>
      </c>
      <c r="P6" s="273" t="s">
        <v>382</v>
      </c>
      <c r="Q6" s="278"/>
      <c r="R6" s="271" t="s">
        <v>381</v>
      </c>
      <c r="S6" s="270" t="s">
        <v>381</v>
      </c>
      <c r="T6" s="269" t="s">
        <v>381</v>
      </c>
      <c r="V6" s="298">
        <v>7.0</v>
      </c>
      <c r="W6" s="264">
        <f>IFERROR(__xludf.DUMMYFUNCTION("""COMPUTED_VALUE"""),45917.0)</f>
        <v>45917</v>
      </c>
      <c r="X6" s="265" t="str">
        <f>IFERROR(__xludf.DUMMYFUNCTION("""COMPUTED_VALUE"""),"Parker")</f>
        <v>Parker</v>
      </c>
      <c r="Y6" s="266">
        <f>IFERROR(__xludf.DUMMYFUNCTION("""COMPUTED_VALUE"""),2.857142857142857)</f>
        <v>2.857142857</v>
      </c>
      <c r="Z6" s="266">
        <f>IFERROR(__xludf.DUMMYFUNCTION("""COMPUTED_VALUE"""),1.6413036132965795)</f>
        <v>1.641303613</v>
      </c>
      <c r="AA6" s="266">
        <f>IFERROR(__xludf.DUMMYFUNCTION("""COMPUTED_VALUE"""),3.0)</f>
        <v>3</v>
      </c>
      <c r="AB6" s="265" t="str">
        <f>IFERROR(__xludf.DUMMYFUNCTION("""COMPUTED_VALUE"""),"Étouffée")</f>
        <v>Étouffée</v>
      </c>
      <c r="AC6" s="267" t="str">
        <f>IFERROR(__xludf.DUMMYFUNCTION("""COMPUTED_VALUE"""),"Vince Staples")</f>
        <v>Vince Staples</v>
      </c>
    </row>
    <row r="7">
      <c r="A7" s="39" t="s">
        <v>393</v>
      </c>
      <c r="B7" s="280"/>
      <c r="C7" s="270" t="s">
        <v>381</v>
      </c>
      <c r="D7" s="283"/>
      <c r="E7" s="272" t="s">
        <v>382</v>
      </c>
      <c r="F7" s="273" t="s">
        <v>382</v>
      </c>
      <c r="G7" s="274" t="s">
        <v>382</v>
      </c>
      <c r="H7" s="301" t="s">
        <v>382</v>
      </c>
      <c r="I7" s="281" t="s">
        <v>115</v>
      </c>
      <c r="J7" s="38">
        <f t="shared" si="1"/>
        <v>5</v>
      </c>
      <c r="K7" s="281" t="str">
        <f t="shared" si="2"/>
        <v>Send it Back</v>
      </c>
      <c r="L7" s="38">
        <f t="shared" si="3"/>
        <v>2</v>
      </c>
      <c r="M7" s="281" t="s">
        <v>326</v>
      </c>
      <c r="N7" s="303"/>
      <c r="O7" s="284"/>
      <c r="P7" s="282"/>
      <c r="Q7" s="278"/>
      <c r="R7" s="271" t="s">
        <v>381</v>
      </c>
      <c r="S7" s="279"/>
      <c r="T7" s="269" t="s">
        <v>381</v>
      </c>
      <c r="V7" s="298">
        <v>1.0</v>
      </c>
      <c r="W7" s="264">
        <f>IFERROR(__xludf.DUMMYFUNCTION("""COMPUTED_VALUE"""),45919.0)</f>
        <v>45919</v>
      </c>
      <c r="X7" s="265" t="str">
        <f>IFERROR(__xludf.DUMMYFUNCTION("""COMPUTED_VALUE"""),"Rosey")</f>
        <v>Rosey</v>
      </c>
      <c r="Y7" s="266">
        <f>IFERROR(__xludf.DUMMYFUNCTION("""COMPUTED_VALUE"""),1.0)</f>
        <v>1</v>
      </c>
      <c r="Z7" s="266">
        <f>IFERROR(__xludf.DUMMYFUNCTION("""COMPUTED_VALUE"""),0.0)</f>
        <v>0</v>
      </c>
      <c r="AA7" s="266">
        <f>IFERROR(__xludf.DUMMYFUNCTION("""COMPUTED_VALUE"""),1.0)</f>
        <v>1</v>
      </c>
      <c r="AB7" s="265" t="str">
        <f>IFERROR(__xludf.DUMMYFUNCTION("""COMPUTED_VALUE"""),"TEMPTATION")</f>
        <v>TEMPTATION</v>
      </c>
      <c r="AC7" s="267" t="str">
        <f>IFERROR(__xludf.DUMMYFUNCTION("""COMPUTED_VALUE"""),"Joey Bada$$")</f>
        <v>Joey Bada$$</v>
      </c>
    </row>
    <row r="8">
      <c r="A8" s="39" t="s">
        <v>394</v>
      </c>
      <c r="B8" s="269" t="s">
        <v>381</v>
      </c>
      <c r="C8" s="279"/>
      <c r="D8" s="283"/>
      <c r="E8" s="278"/>
      <c r="F8" s="273" t="s">
        <v>382</v>
      </c>
      <c r="G8" s="274" t="s">
        <v>382</v>
      </c>
      <c r="H8" s="301" t="s">
        <v>382</v>
      </c>
      <c r="I8" s="305" t="s">
        <v>213</v>
      </c>
      <c r="J8" s="38">
        <f t="shared" si="1"/>
        <v>4</v>
      </c>
      <c r="K8" s="305" t="str">
        <f t="shared" si="2"/>
        <v>SEE U DANCE</v>
      </c>
      <c r="L8" s="38">
        <f t="shared" si="3"/>
        <v>3</v>
      </c>
      <c r="M8" s="281" t="str">
        <f>K11</f>
        <v>Étouffée</v>
      </c>
      <c r="N8" s="303"/>
      <c r="O8" s="284"/>
      <c r="P8" s="282"/>
      <c r="Q8" s="272" t="s">
        <v>382</v>
      </c>
      <c r="R8" s="271" t="s">
        <v>381</v>
      </c>
      <c r="S8" s="270" t="s">
        <v>381</v>
      </c>
      <c r="T8" s="280"/>
      <c r="V8" s="298">
        <v>6.0</v>
      </c>
      <c r="W8" s="264">
        <f>IFERROR(__xludf.DUMMYFUNCTION("""COMPUTED_VALUE"""),45922.0)</f>
        <v>45922</v>
      </c>
      <c r="X8" s="265" t="str">
        <f>IFERROR(__xludf.DUMMYFUNCTION("""COMPUTED_VALUE"""),"Parker")</f>
        <v>Parker</v>
      </c>
      <c r="Y8" s="266">
        <f>IFERROR(__xludf.DUMMYFUNCTION("""COMPUTED_VALUE"""),2.7142857142857144)</f>
        <v>2.714285714</v>
      </c>
      <c r="Z8" s="266">
        <f>IFERROR(__xludf.DUMMYFUNCTION("""COMPUTED_VALUE"""),1.1605769149479943)</f>
        <v>1.160576915</v>
      </c>
      <c r="AA8" s="266">
        <f>IFERROR(__xludf.DUMMYFUNCTION("""COMPUTED_VALUE"""),2.6666666666666665)</f>
        <v>2.666666667</v>
      </c>
      <c r="AB8" s="265" t="str">
        <f>IFERROR(__xludf.DUMMYFUNCTION("""COMPUTED_VALUE"""),"Image")</f>
        <v>Image</v>
      </c>
      <c r="AC8" s="267" t="str">
        <f>IFERROR(__xludf.DUMMYFUNCTION("""COMPUTED_VALUE""")," Magdalena Bay")</f>
        <v> Magdalena Bay</v>
      </c>
    </row>
    <row r="9">
      <c r="A9" s="39" t="s">
        <v>398</v>
      </c>
      <c r="B9" s="269" t="s">
        <v>381</v>
      </c>
      <c r="C9" s="279"/>
      <c r="D9" s="283"/>
      <c r="E9" s="272" t="s">
        <v>382</v>
      </c>
      <c r="F9" s="273" t="s">
        <v>382</v>
      </c>
      <c r="G9" s="284"/>
      <c r="H9" s="301" t="s">
        <v>382</v>
      </c>
      <c r="I9" s="276" t="s">
        <v>316</v>
      </c>
      <c r="J9" s="38">
        <f t="shared" si="1"/>
        <v>4</v>
      </c>
      <c r="K9" s="276" t="str">
        <f t="shared" si="2"/>
        <v>TEMPTATION</v>
      </c>
      <c r="L9" s="38">
        <f t="shared" si="3"/>
        <v>1</v>
      </c>
      <c r="M9" s="305" t="str">
        <f>K10</f>
        <v>No Problems</v>
      </c>
      <c r="N9" s="303"/>
      <c r="O9" s="284"/>
      <c r="P9" s="282"/>
      <c r="Q9" s="278"/>
      <c r="R9" s="271" t="s">
        <v>381</v>
      </c>
      <c r="S9" s="279"/>
      <c r="T9" s="280"/>
      <c r="V9" s="304">
        <v>9.0</v>
      </c>
      <c r="W9" s="264">
        <f>IFERROR(__xludf.DUMMYFUNCTION("""COMPUTED_VALUE"""),45924.0)</f>
        <v>45924</v>
      </c>
      <c r="X9" s="265" t="str">
        <f>IFERROR(__xludf.DUMMYFUNCTION("""COMPUTED_VALUE"""),"Giacomo")</f>
        <v>Giacomo</v>
      </c>
      <c r="Y9" s="266">
        <f>IFERROR(__xludf.DUMMYFUNCTION("""COMPUTED_VALUE"""),3.2857142857142856)</f>
        <v>3.285714286</v>
      </c>
      <c r="Z9" s="266">
        <f>IFERROR(__xludf.DUMMYFUNCTION("""COMPUTED_VALUE"""),1.749635530559413)</f>
        <v>1.749635531</v>
      </c>
      <c r="AA9" s="266">
        <f>IFERROR(__xludf.DUMMYFUNCTION("""COMPUTED_VALUE"""),3.6666666666666665)</f>
        <v>3.666666667</v>
      </c>
      <c r="AB9" s="265" t="str">
        <f>IFERROR(__xludf.DUMMYFUNCTION("""COMPUTED_VALUE"""),"No Problems")</f>
        <v>No Problems</v>
      </c>
      <c r="AC9" s="267" t="str">
        <f>IFERROR(__xludf.DUMMYFUNCTION("""COMPUTED_VALUE"""),"Ginger Root")</f>
        <v>Ginger Root</v>
      </c>
    </row>
    <row r="10">
      <c r="A10" s="39" t="s">
        <v>400</v>
      </c>
      <c r="B10" s="269" t="s">
        <v>381</v>
      </c>
      <c r="C10" s="279"/>
      <c r="D10" s="283"/>
      <c r="E10" s="272" t="s">
        <v>382</v>
      </c>
      <c r="F10" s="282"/>
      <c r="G10" s="274" t="s">
        <v>382</v>
      </c>
      <c r="H10" s="303"/>
      <c r="I10" s="276" t="s">
        <v>267</v>
      </c>
      <c r="J10" s="38">
        <f t="shared" si="1"/>
        <v>3</v>
      </c>
      <c r="K10" s="305" t="str">
        <f t="shared" si="2"/>
        <v>No Problems</v>
      </c>
      <c r="L10" s="38">
        <f t="shared" si="3"/>
        <v>4</v>
      </c>
      <c r="M10" s="305" t="s">
        <v>342</v>
      </c>
      <c r="N10" s="301" t="s">
        <v>382</v>
      </c>
      <c r="O10" s="284"/>
      <c r="P10" s="273" t="s">
        <v>382</v>
      </c>
      <c r="Q10" s="278"/>
      <c r="R10" s="271" t="s">
        <v>381</v>
      </c>
      <c r="S10" s="270" t="s">
        <v>381</v>
      </c>
      <c r="T10" s="280"/>
      <c r="V10" s="298">
        <v>5.0</v>
      </c>
      <c r="W10" s="264">
        <f>IFERROR(__xludf.DUMMYFUNCTION("""COMPUTED_VALUE"""),45926.0)</f>
        <v>45926</v>
      </c>
      <c r="X10" s="265" t="str">
        <f>IFERROR(__xludf.DUMMYFUNCTION("""COMPUTED_VALUE"""),"Weston")</f>
        <v>Weston</v>
      </c>
      <c r="Y10" s="266">
        <f>IFERROR(__xludf.DUMMYFUNCTION("""COMPUTED_VALUE"""),2.5714285714285716)</f>
        <v>2.571428571</v>
      </c>
      <c r="Z10" s="266">
        <f>IFERROR(__xludf.DUMMYFUNCTION("""COMPUTED_VALUE"""),1.9166296949998198)</f>
        <v>1.916629695</v>
      </c>
      <c r="AA10" s="266">
        <f>IFERROR(__xludf.DUMMYFUNCTION("""COMPUTED_VALUE"""),2.6666666666666665)</f>
        <v>2.666666667</v>
      </c>
      <c r="AB10" s="265" t="str">
        <f>IFERROR(__xludf.DUMMYFUNCTION("""COMPUTED_VALUE"""),"Worlds away")</f>
        <v>Worlds away</v>
      </c>
      <c r="AC10" s="267" t="str">
        <f>IFERROR(__xludf.DUMMYFUNCTION("""COMPUTED_VALUE"""),"Dabin")</f>
        <v>Dabin</v>
      </c>
    </row>
    <row r="11">
      <c r="A11" s="39" t="s">
        <v>403</v>
      </c>
      <c r="B11" s="269" t="s">
        <v>381</v>
      </c>
      <c r="C11" s="270" t="s">
        <v>381</v>
      </c>
      <c r="D11" s="271" t="s">
        <v>381</v>
      </c>
      <c r="E11" s="272" t="s">
        <v>382</v>
      </c>
      <c r="F11" s="273" t="s">
        <v>382</v>
      </c>
      <c r="G11" s="274" t="s">
        <v>382</v>
      </c>
      <c r="H11" s="301" t="s">
        <v>382</v>
      </c>
      <c r="I11" s="281" t="s">
        <v>297</v>
      </c>
      <c r="J11" s="38">
        <f t="shared" si="1"/>
        <v>7</v>
      </c>
      <c r="K11" s="281" t="str">
        <f t="shared" si="2"/>
        <v>Étouffée</v>
      </c>
      <c r="L11" s="38">
        <f t="shared" si="3"/>
        <v>0</v>
      </c>
      <c r="M11" s="302" t="s">
        <v>416</v>
      </c>
      <c r="N11" s="303"/>
      <c r="O11" s="284"/>
      <c r="P11" s="282"/>
      <c r="Q11" s="278"/>
      <c r="R11" s="283"/>
      <c r="S11" s="279"/>
      <c r="T11" s="269"/>
      <c r="V11" s="304">
        <v>10.0</v>
      </c>
      <c r="W11" s="264">
        <f>IFERROR(__xludf.DUMMYFUNCTION("""COMPUTED_VALUE"""),45929.0)</f>
        <v>45929</v>
      </c>
      <c r="X11" s="265" t="str">
        <f>IFERROR(__xludf.DUMMYFUNCTION("""COMPUTED_VALUE"""),"Weston")</f>
        <v>Weston</v>
      </c>
      <c r="Y11" s="266">
        <f>IFERROR(__xludf.DUMMYFUNCTION("""COMPUTED_VALUE"""),3.4285714285714284)</f>
        <v>3.428571429</v>
      </c>
      <c r="Z11" s="266">
        <f>IFERROR(__xludf.DUMMYFUNCTION("""COMPUTED_VALUE"""),1.4982983545287878)</f>
        <v>1.498298355</v>
      </c>
      <c r="AA11" s="266">
        <f>IFERROR(__xludf.DUMMYFUNCTION("""COMPUTED_VALUE"""),3.6666666666666665)</f>
        <v>3.666666667</v>
      </c>
      <c r="AB11" s="265" t="str">
        <f>IFERROR(__xludf.DUMMYFUNCTION("""COMPUTED_VALUE"""),"Pasadena")</f>
        <v>Pasadena</v>
      </c>
      <c r="AC11" s="267" t="str">
        <f>IFERROR(__xludf.DUMMYFUNCTION("""COMPUTED_VALUE"""),"Young Mister")</f>
        <v>Young Mister</v>
      </c>
    </row>
    <row r="12">
      <c r="I12" s="234"/>
      <c r="J12" s="234"/>
      <c r="K12" s="234"/>
      <c r="L12" s="234"/>
      <c r="M12" s="234"/>
    </row>
    <row r="13">
      <c r="I13" s="234"/>
      <c r="J13" s="234"/>
      <c r="K13" s="234"/>
      <c r="L13" s="234"/>
      <c r="M13" s="234"/>
    </row>
    <row r="14">
      <c r="A14" s="29" t="s">
        <v>439</v>
      </c>
      <c r="V14" s="262" t="s">
        <v>367</v>
      </c>
      <c r="W14" s="262" t="s">
        <v>19</v>
      </c>
      <c r="X14" s="262" t="s">
        <v>16</v>
      </c>
      <c r="Y14" s="262" t="s">
        <v>75</v>
      </c>
      <c r="Z14" s="262" t="s">
        <v>76</v>
      </c>
      <c r="AA14" s="262" t="s">
        <v>78</v>
      </c>
      <c r="AB14" s="262" t="s">
        <v>368</v>
      </c>
      <c r="AC14" s="262" t="s">
        <v>82</v>
      </c>
    </row>
    <row r="15">
      <c r="A15" s="262" t="s">
        <v>369</v>
      </c>
      <c r="B15" s="262" t="s">
        <v>370</v>
      </c>
      <c r="C15" s="262" t="s">
        <v>371</v>
      </c>
      <c r="D15" s="262" t="s">
        <v>372</v>
      </c>
      <c r="E15" s="262" t="s">
        <v>373</v>
      </c>
      <c r="F15" s="262" t="s">
        <v>374</v>
      </c>
      <c r="G15" s="262" t="s">
        <v>51</v>
      </c>
      <c r="H15" s="262" t="s">
        <v>412</v>
      </c>
      <c r="I15" s="29" t="s">
        <v>376</v>
      </c>
      <c r="J15" s="29" t="s">
        <v>377</v>
      </c>
      <c r="K15" s="29" t="s">
        <v>21</v>
      </c>
      <c r="L15" s="29" t="s">
        <v>378</v>
      </c>
      <c r="M15" s="29" t="s">
        <v>379</v>
      </c>
      <c r="N15" s="262" t="s">
        <v>412</v>
      </c>
      <c r="O15" s="262" t="s">
        <v>51</v>
      </c>
      <c r="P15" s="262" t="s">
        <v>374</v>
      </c>
      <c r="Q15" s="262" t="s">
        <v>373</v>
      </c>
      <c r="R15" s="262" t="s">
        <v>372</v>
      </c>
      <c r="S15" s="262" t="s">
        <v>371</v>
      </c>
      <c r="T15" s="262" t="s">
        <v>370</v>
      </c>
      <c r="V15" s="298">
        <v>7.0</v>
      </c>
      <c r="W15" s="264">
        <f>IFERROR(__xludf.DUMMYFUNCTION("FILTER(Rankings!D:J, Rankings!D:D &gt;= DATE(2025,10,1), Rankings!D:D &lt; DATE(2025,11,1), Rankings!U:U = TRUE)"),45931.0)</f>
        <v>45931</v>
      </c>
      <c r="X15" s="265" t="str">
        <f>IFERROR(__xludf.DUMMYFUNCTION("""COMPUTED_VALUE"""),"Rosey")</f>
        <v>Rosey</v>
      </c>
      <c r="Y15" s="266">
        <f>IFERROR(__xludf.DUMMYFUNCTION("""COMPUTED_VALUE"""),2.7142857142857144)</f>
        <v>2.714285714</v>
      </c>
      <c r="Z15" s="266">
        <f>IFERROR(__xludf.DUMMYFUNCTION("""COMPUTED_VALUE"""),1.385051387833237)</f>
        <v>1.385051388</v>
      </c>
      <c r="AA15" s="266">
        <f>IFERROR(__xludf.DUMMYFUNCTION("""COMPUTED_VALUE"""),3.0)</f>
        <v>3</v>
      </c>
      <c r="AB15" s="265" t="str">
        <f>IFERROR(__xludf.DUMMYFUNCTION("""COMPUTED_VALUE"""),"You And Me")</f>
        <v>You And Me</v>
      </c>
      <c r="AC15" s="267" t="str">
        <f>IFERROR(__xludf.DUMMYFUNCTION("""COMPUTED_VALUE"""),"Attack! Attack!")</f>
        <v>Attack! Attack!</v>
      </c>
    </row>
    <row r="16">
      <c r="A16" s="177" t="s">
        <v>380</v>
      </c>
      <c r="B16" s="269"/>
      <c r="C16" s="270"/>
      <c r="D16" s="283"/>
      <c r="E16" s="272"/>
      <c r="F16" s="273" t="s">
        <v>382</v>
      </c>
      <c r="G16" s="274"/>
      <c r="H16" s="301"/>
      <c r="I16" s="307" t="str">
        <f>K18</f>
        <v>The Scythe</v>
      </c>
      <c r="J16" s="38">
        <f t="shared" ref="J16:J28" si="5">COUNTIF(B16:H16,"x")</f>
        <v>1</v>
      </c>
      <c r="K16" s="323" t="str">
        <f t="shared" ref="K16:K28" si="6">IF(J16&gt;=4,I16,IF(L16&gt;=4,M16,"TBD"))</f>
        <v>GOOD BAD UGLY</v>
      </c>
      <c r="L16" s="38">
        <f t="shared" ref="L16:L28" si="7">COUNTIF(N16:T16,"x")</f>
        <v>5</v>
      </c>
      <c r="M16" s="323" t="str">
        <f>K17</f>
        <v>GOOD BAD UGLY</v>
      </c>
      <c r="N16" s="303"/>
      <c r="O16" s="274" t="s">
        <v>382</v>
      </c>
      <c r="P16" s="282"/>
      <c r="Q16" s="272" t="s">
        <v>382</v>
      </c>
      <c r="R16" s="271" t="s">
        <v>381</v>
      </c>
      <c r="S16" s="270" t="s">
        <v>381</v>
      </c>
      <c r="T16" s="269" t="s">
        <v>381</v>
      </c>
      <c r="V16" s="298">
        <v>6.0</v>
      </c>
      <c r="W16" s="264">
        <f>IFERROR(__xludf.DUMMYFUNCTION("""COMPUTED_VALUE"""),45933.0)</f>
        <v>45933</v>
      </c>
      <c r="X16" s="265" t="str">
        <f>IFERROR(__xludf.DUMMYFUNCTION("""COMPUTED_VALUE"""),"Rosey")</f>
        <v>Rosey</v>
      </c>
      <c r="Y16" s="266">
        <f>IFERROR(__xludf.DUMMYFUNCTION("""COMPUTED_VALUE"""),2.5714285714285716)</f>
        <v>2.571428571</v>
      </c>
      <c r="Z16" s="266">
        <f>IFERROR(__xludf.DUMMYFUNCTION("""COMPUTED_VALUE"""),1.5907898179514348)</f>
        <v>1.590789818</v>
      </c>
      <c r="AA16" s="266">
        <f>IFERROR(__xludf.DUMMYFUNCTION("""COMPUTED_VALUE"""),2.8333333333333335)</f>
        <v>2.833333333</v>
      </c>
      <c r="AB16" s="265" t="str">
        <f>IFERROR(__xludf.DUMMYFUNCTION("""COMPUTED_VALUE"""),"All The Things She Said")</f>
        <v>All The Things She Said</v>
      </c>
      <c r="AC16" s="267" t="str">
        <f>IFERROR(__xludf.DUMMYFUNCTION("""COMPUTED_VALUE"""),"t.A.T.u")</f>
        <v>t.A.T.u</v>
      </c>
    </row>
    <row r="17">
      <c r="A17" s="177" t="s">
        <v>385</v>
      </c>
      <c r="B17" s="269" t="s">
        <v>381</v>
      </c>
      <c r="C17" s="270" t="s">
        <v>381</v>
      </c>
      <c r="D17" s="271" t="s">
        <v>381</v>
      </c>
      <c r="E17" s="272" t="s">
        <v>381</v>
      </c>
      <c r="F17" s="273"/>
      <c r="G17" s="284"/>
      <c r="H17" s="301" t="s">
        <v>381</v>
      </c>
      <c r="I17" s="323" t="str">
        <f>K22</f>
        <v>GOOD BAD UGLY</v>
      </c>
      <c r="J17" s="38">
        <f t="shared" si="5"/>
        <v>5</v>
      </c>
      <c r="K17" s="323" t="str">
        <f t="shared" si="6"/>
        <v>GOOD BAD UGLY</v>
      </c>
      <c r="L17" s="38">
        <f t="shared" si="7"/>
        <v>2</v>
      </c>
      <c r="M17" s="307" t="str">
        <f t="shared" ref="M17:M18" si="8">K19</f>
        <v>By and By</v>
      </c>
      <c r="N17" s="301"/>
      <c r="O17" s="274" t="s">
        <v>382</v>
      </c>
      <c r="P17" s="273" t="s">
        <v>382</v>
      </c>
      <c r="Q17" s="272"/>
      <c r="R17" s="283"/>
      <c r="S17" s="270"/>
      <c r="T17" s="280"/>
      <c r="V17" s="298">
        <v>1.0</v>
      </c>
      <c r="W17" s="264">
        <f>IFERROR(__xludf.DUMMYFUNCTION("""COMPUTED_VALUE"""),45936.0)</f>
        <v>45936</v>
      </c>
      <c r="X17" s="265" t="str">
        <f>IFERROR(__xludf.DUMMYFUNCTION("""COMPUTED_VALUE"""),"TTAC")</f>
        <v>TTAC</v>
      </c>
      <c r="Y17" s="266">
        <f>IFERROR(__xludf.DUMMYFUNCTION("""COMPUTED_VALUE"""),1.8571428571428572)</f>
        <v>1.857142857</v>
      </c>
      <c r="Z17" s="266">
        <f>IFERROR(__xludf.DUMMYFUNCTION("""COMPUTED_VALUE"""),0.989743318610787)</f>
        <v>0.9897433186</v>
      </c>
      <c r="AA17" s="266">
        <f>IFERROR(__xludf.DUMMYFUNCTION("""COMPUTED_VALUE"""),2.0)</f>
        <v>2</v>
      </c>
      <c r="AB17" s="265" t="str">
        <f>IFERROR(__xludf.DUMMYFUNCTION("""COMPUTED_VALUE"""),"The Scythe")</f>
        <v>The Scythe</v>
      </c>
      <c r="AC17" s="267" t="str">
        <f>IFERROR(__xludf.DUMMYFUNCTION("""COMPUTED_VALUE"""),"The Last Dinner Party")</f>
        <v>The Last Dinner Party</v>
      </c>
    </row>
    <row r="18">
      <c r="A18" s="177" t="s">
        <v>389</v>
      </c>
      <c r="B18" s="280"/>
      <c r="C18" s="270" t="s">
        <v>381</v>
      </c>
      <c r="D18" s="271" t="s">
        <v>381</v>
      </c>
      <c r="E18" s="272" t="s">
        <v>382</v>
      </c>
      <c r="F18" s="273" t="s">
        <v>382</v>
      </c>
      <c r="G18" s="284"/>
      <c r="H18" s="301"/>
      <c r="I18" s="307" t="str">
        <f>K21</f>
        <v>The Scythe</v>
      </c>
      <c r="J18" s="38">
        <f t="shared" si="5"/>
        <v>4</v>
      </c>
      <c r="K18" s="307" t="str">
        <f t="shared" si="6"/>
        <v>The Scythe</v>
      </c>
      <c r="L18" s="38">
        <f t="shared" si="7"/>
        <v>2</v>
      </c>
      <c r="M18" s="302" t="str">
        <f t="shared" si="8"/>
        <v>Black butterflies and Déjà vu</v>
      </c>
      <c r="N18" s="303"/>
      <c r="O18" s="274" t="s">
        <v>382</v>
      </c>
      <c r="P18" s="282"/>
      <c r="Q18" s="278"/>
      <c r="R18" s="283"/>
      <c r="S18" s="279"/>
      <c r="T18" s="269" t="s">
        <v>381</v>
      </c>
      <c r="V18" s="298">
        <v>11.0</v>
      </c>
      <c r="W18" s="264">
        <f>IFERROR(__xludf.DUMMYFUNCTION("""COMPUTED_VALUE"""),45938.0)</f>
        <v>45938</v>
      </c>
      <c r="X18" s="265" t="str">
        <f>IFERROR(__xludf.DUMMYFUNCTION("""COMPUTED_VALUE"""),"TTAC")</f>
        <v>TTAC</v>
      </c>
      <c r="Y18" s="266">
        <f>IFERROR(__xludf.DUMMYFUNCTION("""COMPUTED_VALUE"""),3.0)</f>
        <v>3</v>
      </c>
      <c r="Z18" s="266">
        <f>IFERROR(__xludf.DUMMYFUNCTION("""COMPUTED_VALUE"""),1.9999999999999998)</f>
        <v>2</v>
      </c>
      <c r="AA18" s="266">
        <f>IFERROR(__xludf.DUMMYFUNCTION("""COMPUTED_VALUE"""),3.1666666666666665)</f>
        <v>3.166666667</v>
      </c>
      <c r="AB18" s="265" t="str">
        <f>IFERROR(__xludf.DUMMYFUNCTION("""COMPUTED_VALUE"""),"By and By")</f>
        <v>By and By</v>
      </c>
      <c r="AC18" s="267" t="str">
        <f>IFERROR(__xludf.DUMMYFUNCTION("""COMPUTED_VALUE"""),"Caamp")</f>
        <v>Caamp</v>
      </c>
    </row>
    <row r="19">
      <c r="A19" s="177" t="s">
        <v>393</v>
      </c>
      <c r="B19" s="269" t="s">
        <v>381</v>
      </c>
      <c r="C19" s="279"/>
      <c r="D19" s="283"/>
      <c r="E19" s="272" t="s">
        <v>381</v>
      </c>
      <c r="F19" s="282"/>
      <c r="G19" s="284"/>
      <c r="H19" s="301" t="s">
        <v>381</v>
      </c>
      <c r="I19" s="276" t="str">
        <f>K26</f>
        <v>Hell of a Night</v>
      </c>
      <c r="J19" s="38">
        <f t="shared" si="5"/>
        <v>3</v>
      </c>
      <c r="K19" s="307" t="str">
        <f t="shared" si="6"/>
        <v>By and By</v>
      </c>
      <c r="L19" s="38">
        <f t="shared" si="7"/>
        <v>4</v>
      </c>
      <c r="M19" s="307" t="str">
        <f>K27</f>
        <v>By and By</v>
      </c>
      <c r="N19" s="303"/>
      <c r="O19" s="274" t="s">
        <v>381</v>
      </c>
      <c r="P19" s="273" t="s">
        <v>382</v>
      </c>
      <c r="Q19" s="278"/>
      <c r="R19" s="271" t="s">
        <v>381</v>
      </c>
      <c r="S19" s="270" t="s">
        <v>381</v>
      </c>
      <c r="T19" s="269"/>
      <c r="V19" s="298">
        <v>4.0</v>
      </c>
      <c r="W19" s="264">
        <f>IFERROR(__xludf.DUMMYFUNCTION("""COMPUTED_VALUE"""),45940.0)</f>
        <v>45940</v>
      </c>
      <c r="X19" s="265" t="str">
        <f>IFERROR(__xludf.DUMMYFUNCTION("""COMPUTED_VALUE"""),"Weston")</f>
        <v>Weston</v>
      </c>
      <c r="Y19" s="266">
        <f>IFERROR(__xludf.DUMMYFUNCTION("""COMPUTED_VALUE"""),2.4285714285714284)</f>
        <v>2.428571429</v>
      </c>
      <c r="Z19" s="266">
        <f>IFERROR(__xludf.DUMMYFUNCTION("""COMPUTED_VALUE"""),1.498298354528788)</f>
        <v>1.498298355</v>
      </c>
      <c r="AA19" s="266">
        <f>IFERROR(__xludf.DUMMYFUNCTION("""COMPUTED_VALUE"""),2.6666666666666665)</f>
        <v>2.666666667</v>
      </c>
      <c r="AB19" s="265" t="str">
        <f>IFERROR(__xludf.DUMMYFUNCTION("""COMPUTED_VALUE"""),"Black butterflies and Déjà vu")</f>
        <v>Black butterflies and Déjà vu</v>
      </c>
      <c r="AC19" s="267" t="str">
        <f>IFERROR(__xludf.DUMMYFUNCTION("""COMPUTED_VALUE"""),"The Maine")</f>
        <v>The Maine</v>
      </c>
    </row>
    <row r="20">
      <c r="A20" s="177" t="s">
        <v>390</v>
      </c>
      <c r="B20" s="269" t="s">
        <v>381</v>
      </c>
      <c r="C20" s="270"/>
      <c r="D20" s="271" t="s">
        <v>381</v>
      </c>
      <c r="E20" s="272"/>
      <c r="F20" s="273" t="s">
        <v>382</v>
      </c>
      <c r="G20" s="274" t="s">
        <v>381</v>
      </c>
      <c r="H20" s="301"/>
      <c r="I20" s="302" t="str">
        <f>K25</f>
        <v>Black butterflies and Déjà vu</v>
      </c>
      <c r="J20" s="38">
        <f t="shared" si="5"/>
        <v>4</v>
      </c>
      <c r="K20" s="302" t="str">
        <f t="shared" si="6"/>
        <v>Black butterflies and Déjà vu</v>
      </c>
      <c r="L20" s="38">
        <f t="shared" si="7"/>
        <v>3</v>
      </c>
      <c r="M20" s="281" t="str">
        <f>K24</f>
        <v>Too Bad I Have to Destroy You Now</v>
      </c>
      <c r="N20" s="301" t="s">
        <v>381</v>
      </c>
      <c r="O20" s="284"/>
      <c r="P20" s="282"/>
      <c r="Q20" s="272" t="s">
        <v>381</v>
      </c>
      <c r="R20" s="271"/>
      <c r="S20" s="270" t="s">
        <v>381</v>
      </c>
      <c r="T20" s="269"/>
      <c r="V20" s="304">
        <v>3.0</v>
      </c>
      <c r="W20" s="264">
        <f>IFERROR(__xludf.DUMMYFUNCTION("""COMPUTED_VALUE"""),45943.0)</f>
        <v>45943</v>
      </c>
      <c r="X20" s="265" t="str">
        <f>IFERROR(__xludf.DUMMYFUNCTION("""COMPUTED_VALUE"""),"Rosey")</f>
        <v>Rosey</v>
      </c>
      <c r="Y20" s="266">
        <f>IFERROR(__xludf.DUMMYFUNCTION("""COMPUTED_VALUE"""),2.2857142857142856)</f>
        <v>2.285714286</v>
      </c>
      <c r="Z20" s="266">
        <f>IFERROR(__xludf.DUMMYFUNCTION("""COMPUTED_VALUE"""),1.2777531299998799)</f>
        <v>1.27775313</v>
      </c>
      <c r="AA20" s="266">
        <f>IFERROR(__xludf.DUMMYFUNCTION("""COMPUTED_VALUE"""),2.5)</f>
        <v>2.5</v>
      </c>
      <c r="AB20" s="265" t="str">
        <f>IFERROR(__xludf.DUMMYFUNCTION("""COMPUTED_VALUE"""),"Hell of a Night")</f>
        <v>Hell of a Night</v>
      </c>
      <c r="AC20" s="267" t="str">
        <f>IFERROR(__xludf.DUMMYFUNCTION("""COMPUTED_VALUE"""),"ScHoolboy Q")</f>
        <v>ScHoolboy Q</v>
      </c>
    </row>
    <row r="21">
      <c r="A21" s="177" t="s">
        <v>398</v>
      </c>
      <c r="B21" s="269" t="s">
        <v>381</v>
      </c>
      <c r="C21" s="279"/>
      <c r="D21" s="283"/>
      <c r="E21" s="272" t="s">
        <v>382</v>
      </c>
      <c r="F21" s="273" t="s">
        <v>382</v>
      </c>
      <c r="G21" s="274"/>
      <c r="H21" s="301" t="s">
        <v>381</v>
      </c>
      <c r="I21" s="307" t="s">
        <v>449</v>
      </c>
      <c r="J21" s="38">
        <f t="shared" si="5"/>
        <v>4</v>
      </c>
      <c r="K21" s="307" t="str">
        <f t="shared" si="6"/>
        <v>The Scythe</v>
      </c>
      <c r="L21" s="38">
        <f t="shared" si="7"/>
        <v>3</v>
      </c>
      <c r="M21" s="281" t="str">
        <f>K23</f>
        <v>Unshaken</v>
      </c>
      <c r="N21" s="303"/>
      <c r="O21" s="274" t="s">
        <v>381</v>
      </c>
      <c r="P21" s="282"/>
      <c r="Q21" s="272"/>
      <c r="R21" s="271" t="s">
        <v>381</v>
      </c>
      <c r="S21" s="270" t="s">
        <v>381</v>
      </c>
      <c r="T21" s="280"/>
      <c r="V21" s="298">
        <v>8.0</v>
      </c>
      <c r="W21" s="264">
        <f>IFERROR(__xludf.DUMMYFUNCTION("""COMPUTED_VALUE"""),45945.0)</f>
        <v>45945</v>
      </c>
      <c r="X21" s="265" t="str">
        <f>IFERROR(__xludf.DUMMYFUNCTION("""COMPUTED_VALUE"""),"Rosey")</f>
        <v>Rosey</v>
      </c>
      <c r="Y21" s="266">
        <f>IFERROR(__xludf.DUMMYFUNCTION("""COMPUTED_VALUE"""),2.857142857142857)</f>
        <v>2.857142857</v>
      </c>
      <c r="Z21" s="266">
        <f>IFERROR(__xludf.DUMMYFUNCTION("""COMPUTED_VALUE"""),1.4568627181693672)</f>
        <v>1.456862718</v>
      </c>
      <c r="AA21" s="266">
        <f>IFERROR(__xludf.DUMMYFUNCTION("""COMPUTED_VALUE"""),3.1666666666666665)</f>
        <v>3.166666667</v>
      </c>
      <c r="AB21" s="265" t="str">
        <f>IFERROR(__xludf.DUMMYFUNCTION("""COMPUTED_VALUE"""),"Catch Me Outside 2")</f>
        <v>Catch Me Outside 2</v>
      </c>
      <c r="AC21" s="267" t="str">
        <f>IFERROR(__xludf.DUMMYFUNCTION("""COMPUTED_VALUE"""),"Ski Mask The Slump God")</f>
        <v>Ski Mask The Slump God</v>
      </c>
    </row>
    <row r="22">
      <c r="A22" s="177" t="s">
        <v>394</v>
      </c>
      <c r="B22" s="269" t="s">
        <v>381</v>
      </c>
      <c r="C22" s="279"/>
      <c r="D22" s="271" t="s">
        <v>381</v>
      </c>
      <c r="E22" s="272"/>
      <c r="F22" s="273"/>
      <c r="G22" s="274" t="s">
        <v>381</v>
      </c>
      <c r="H22" s="301" t="s">
        <v>381</v>
      </c>
      <c r="I22" s="305" t="s">
        <v>450</v>
      </c>
      <c r="J22" s="38">
        <f t="shared" si="5"/>
        <v>4</v>
      </c>
      <c r="K22" s="323" t="str">
        <f t="shared" si="6"/>
        <v>GOOD BAD UGLY</v>
      </c>
      <c r="L22" s="38">
        <f t="shared" si="7"/>
        <v>3</v>
      </c>
      <c r="M22" s="276" t="str">
        <f>K28</f>
        <v>Ghost Town</v>
      </c>
      <c r="N22" s="303"/>
      <c r="O22" s="284"/>
      <c r="P22" s="273" t="s">
        <v>382</v>
      </c>
      <c r="Q22" s="272" t="s">
        <v>382</v>
      </c>
      <c r="R22" s="271"/>
      <c r="S22" s="270" t="s">
        <v>381</v>
      </c>
      <c r="T22" s="280"/>
      <c r="V22" s="304">
        <v>9.0</v>
      </c>
      <c r="W22" s="264">
        <f>IFERROR(__xludf.DUMMYFUNCTION("""COMPUTED_VALUE"""),45947.0)</f>
        <v>45947</v>
      </c>
      <c r="X22" s="265" t="str">
        <f>IFERROR(__xludf.DUMMYFUNCTION("""COMPUTED_VALUE"""),"Parker")</f>
        <v>Parker</v>
      </c>
      <c r="Y22" s="266">
        <f>IFERROR(__xludf.DUMMYFUNCTION("""COMPUTED_VALUE"""),2.857142857142857)</f>
        <v>2.857142857</v>
      </c>
      <c r="Z22" s="266">
        <f>IFERROR(__xludf.DUMMYFUNCTION("""COMPUTED_VALUE"""),1.8070158058105026)</f>
        <v>1.807015806</v>
      </c>
      <c r="AA22" s="266">
        <f>IFERROR(__xludf.DUMMYFUNCTION("""COMPUTED_VALUE"""),3.1666666666666665)</f>
        <v>3.166666667</v>
      </c>
      <c r="AB22" s="265" t="str">
        <f>IFERROR(__xludf.DUMMYFUNCTION("""COMPUTED_VALUE"""),"Unshaken")</f>
        <v>Unshaken</v>
      </c>
      <c r="AC22" s="267" t="str">
        <f>IFERROR(__xludf.DUMMYFUNCTION("""COMPUTED_VALUE"""),"D'Angelo (Red Dead Redemption 2)")</f>
        <v>D'Angelo (Red Dead Redemption 2)</v>
      </c>
    </row>
    <row r="23">
      <c r="A23" s="177" t="s">
        <v>400</v>
      </c>
      <c r="B23" s="269" t="s">
        <v>381</v>
      </c>
      <c r="C23" s="279"/>
      <c r="D23" s="283"/>
      <c r="E23" s="272" t="s">
        <v>381</v>
      </c>
      <c r="F23" s="282"/>
      <c r="G23" s="274"/>
      <c r="H23" s="303"/>
      <c r="I23" s="276" t="s">
        <v>451</v>
      </c>
      <c r="J23" s="38">
        <f t="shared" si="5"/>
        <v>2</v>
      </c>
      <c r="K23" s="281" t="str">
        <f t="shared" si="6"/>
        <v>Unshaken</v>
      </c>
      <c r="L23" s="38">
        <f t="shared" si="7"/>
        <v>4</v>
      </c>
      <c r="M23" s="281" t="s">
        <v>101</v>
      </c>
      <c r="N23" s="301"/>
      <c r="O23" s="274" t="s">
        <v>381</v>
      </c>
      <c r="P23" s="273" t="s">
        <v>382</v>
      </c>
      <c r="Q23" s="278"/>
      <c r="R23" s="271" t="s">
        <v>381</v>
      </c>
      <c r="S23" s="270" t="s">
        <v>381</v>
      </c>
      <c r="T23" s="280"/>
      <c r="V23" s="298">
        <v>14.0</v>
      </c>
      <c r="W23" s="264">
        <f>IFERROR(__xludf.DUMMYFUNCTION("""COMPUTED_VALUE"""),45950.0)</f>
        <v>45950</v>
      </c>
      <c r="X23" s="265" t="str">
        <f>IFERROR(__xludf.DUMMYFUNCTION("""COMPUTED_VALUE"""),"Rosey")</f>
        <v>Rosey</v>
      </c>
      <c r="Y23" s="266">
        <f>IFERROR(__xludf.DUMMYFUNCTION("""COMPUTED_VALUE"""),3.4285714285714284)</f>
        <v>3.428571429</v>
      </c>
      <c r="Z23" s="266">
        <f>IFERROR(__xludf.DUMMYFUNCTION("""COMPUTED_VALUE"""),1.5907898179514348)</f>
        <v>1.590789818</v>
      </c>
      <c r="AA23" s="266">
        <f>IFERROR(__xludf.DUMMYFUNCTION("""COMPUTED_VALUE"""),3.6666666666666665)</f>
        <v>3.666666667</v>
      </c>
      <c r="AB23" s="265" t="str">
        <f>IFERROR(__xludf.DUMMYFUNCTION("""COMPUTED_VALUE"""),"The Good Life")</f>
        <v>The Good Life</v>
      </c>
      <c r="AC23" s="267" t="str">
        <f>IFERROR(__xludf.DUMMYFUNCTION("""COMPUTED_VALUE"""),"Three Days Grace")</f>
        <v>Three Days Grace</v>
      </c>
    </row>
    <row r="24">
      <c r="A24" s="177" t="s">
        <v>413</v>
      </c>
      <c r="B24" s="269" t="s">
        <v>381</v>
      </c>
      <c r="C24" s="270"/>
      <c r="D24" s="271" t="s">
        <v>381</v>
      </c>
      <c r="E24" s="272"/>
      <c r="F24" s="273" t="s">
        <v>382</v>
      </c>
      <c r="G24" s="274"/>
      <c r="H24" s="301"/>
      <c r="I24" s="328" t="s">
        <v>454</v>
      </c>
      <c r="J24" s="38">
        <f t="shared" si="5"/>
        <v>3</v>
      </c>
      <c r="K24" s="281" t="str">
        <f t="shared" si="6"/>
        <v>Too Bad I Have to Destroy You Now</v>
      </c>
      <c r="L24" s="38">
        <f t="shared" si="7"/>
        <v>4</v>
      </c>
      <c r="M24" s="281" t="s">
        <v>455</v>
      </c>
      <c r="N24" s="301" t="s">
        <v>381</v>
      </c>
      <c r="O24" s="274" t="s">
        <v>381</v>
      </c>
      <c r="P24" s="282"/>
      <c r="Q24" s="272" t="s">
        <v>381</v>
      </c>
      <c r="R24" s="283"/>
      <c r="S24" s="270" t="s">
        <v>381</v>
      </c>
      <c r="T24" s="269"/>
      <c r="V24" s="304">
        <v>5.0</v>
      </c>
      <c r="W24" s="264">
        <f>IFERROR(__xludf.DUMMYFUNCTION("""COMPUTED_VALUE"""),45952.0)</f>
        <v>45952</v>
      </c>
      <c r="X24" s="265" t="str">
        <f>IFERROR(__xludf.DUMMYFUNCTION("""COMPUTED_VALUE"""),"Jake")</f>
        <v>Jake</v>
      </c>
      <c r="Y24" s="266">
        <f>IFERROR(__xludf.DUMMYFUNCTION("""COMPUTED_VALUE"""),2.4285714285714284)</f>
        <v>2.428571429</v>
      </c>
      <c r="Z24" s="266">
        <f>IFERROR(__xludf.DUMMYFUNCTION("""COMPUTED_VALUE"""),1.6781914463529615)</f>
        <v>1.678191446</v>
      </c>
      <c r="AA24" s="266">
        <f>IFERROR(__xludf.DUMMYFUNCTION("""COMPUTED_VALUE"""),2.3333333333333335)</f>
        <v>2.333333333</v>
      </c>
      <c r="AB24" s="265" t="str">
        <f>IFERROR(__xludf.DUMMYFUNCTION("""COMPUTED_VALUE"""),"We The People…")</f>
        <v>We The People…</v>
      </c>
      <c r="AC24" s="267" t="str">
        <f>IFERROR(__xludf.DUMMYFUNCTION("""COMPUTED_VALUE"""),"A Tribe Called Quest")</f>
        <v>A Tribe Called Quest</v>
      </c>
    </row>
    <row r="25">
      <c r="A25" s="177" t="s">
        <v>418</v>
      </c>
      <c r="B25" s="269" t="s">
        <v>381</v>
      </c>
      <c r="C25" s="270" t="s">
        <v>381</v>
      </c>
      <c r="D25" s="271" t="s">
        <v>381</v>
      </c>
      <c r="E25" s="272" t="s">
        <v>381</v>
      </c>
      <c r="F25" s="273" t="s">
        <v>382</v>
      </c>
      <c r="G25" s="274" t="s">
        <v>381</v>
      </c>
      <c r="H25" s="301"/>
      <c r="I25" s="302" t="s">
        <v>456</v>
      </c>
      <c r="J25" s="38">
        <f t="shared" si="5"/>
        <v>6</v>
      </c>
      <c r="K25" s="302" t="str">
        <f t="shared" si="6"/>
        <v>Black butterflies and Déjà vu</v>
      </c>
      <c r="L25" s="38">
        <f t="shared" si="7"/>
        <v>0</v>
      </c>
      <c r="M25" s="288" t="s">
        <v>95</v>
      </c>
      <c r="N25" s="303"/>
      <c r="O25" s="284"/>
      <c r="P25" s="282"/>
      <c r="Q25" s="278"/>
      <c r="R25" s="271"/>
      <c r="S25" s="279"/>
      <c r="T25" s="280"/>
      <c r="V25" s="300">
        <v>10.0</v>
      </c>
      <c r="W25" s="295">
        <f>IFERROR(__xludf.DUMMYFUNCTION("""COMPUTED_VALUE"""),45954.0)</f>
        <v>45954</v>
      </c>
      <c r="X25" s="296" t="str">
        <f>IFERROR(__xludf.DUMMYFUNCTION("""COMPUTED_VALUE"""),"Rosey")</f>
        <v>Rosey</v>
      </c>
      <c r="Y25" s="297">
        <f>IFERROR(__xludf.DUMMYFUNCTION("""COMPUTED_VALUE"""),2.857142857142857)</f>
        <v>2.857142857</v>
      </c>
      <c r="Z25" s="297">
        <f>IFERROR(__xludf.DUMMYFUNCTION("""COMPUTED_VALUE"""),2.0303814862216996)</f>
        <v>2.030381486</v>
      </c>
      <c r="AA25" s="297">
        <f>IFERROR(__xludf.DUMMYFUNCTION("""COMPUTED_VALUE"""),3.1666666666666665)</f>
        <v>3.166666667</v>
      </c>
      <c r="AB25" s="296" t="str">
        <f>IFERROR(__xludf.DUMMYFUNCTION("""COMPUTED_VALUE"""),"Ghost Town")</f>
        <v>Ghost Town</v>
      </c>
      <c r="AC25" s="299" t="str">
        <f>IFERROR(__xludf.DUMMYFUNCTION("""COMPUTED_VALUE"""),"Kanye West, PARTYNEXTDOOR")</f>
        <v>Kanye West, PARTYNEXTDOOR</v>
      </c>
    </row>
    <row r="26">
      <c r="A26" s="177" t="s">
        <v>458</v>
      </c>
      <c r="B26" s="269"/>
      <c r="C26" s="270" t="s">
        <v>381</v>
      </c>
      <c r="D26" s="271" t="s">
        <v>381</v>
      </c>
      <c r="E26" s="272" t="s">
        <v>381</v>
      </c>
      <c r="F26" s="273" t="s">
        <v>382</v>
      </c>
      <c r="G26" s="284"/>
      <c r="H26" s="303"/>
      <c r="I26" s="276" t="s">
        <v>459</v>
      </c>
      <c r="J26" s="38">
        <f t="shared" si="5"/>
        <v>4</v>
      </c>
      <c r="K26" s="276" t="str">
        <f t="shared" si="6"/>
        <v>Hell of a Night</v>
      </c>
      <c r="L26" s="38">
        <f t="shared" si="7"/>
        <v>2</v>
      </c>
      <c r="M26" s="276" t="s">
        <v>460</v>
      </c>
      <c r="N26" s="301"/>
      <c r="O26" s="274" t="s">
        <v>381</v>
      </c>
      <c r="P26" s="282"/>
      <c r="Q26" s="272"/>
      <c r="R26" s="283"/>
      <c r="S26" s="270"/>
      <c r="T26" s="269" t="s">
        <v>381</v>
      </c>
      <c r="V26" s="298">
        <v>2.0</v>
      </c>
      <c r="W26" s="264">
        <f>IFERROR(__xludf.DUMMYFUNCTION("""COMPUTED_VALUE"""),45957.0)</f>
        <v>45957</v>
      </c>
      <c r="X26" s="265" t="str">
        <f>IFERROR(__xludf.DUMMYFUNCTION("""COMPUTED_VALUE"""),"Giacomo")</f>
        <v>Giacomo</v>
      </c>
      <c r="Y26" s="266">
        <f>IFERROR(__xludf.DUMMYFUNCTION("""COMPUTED_VALUE"""),2.2857142857142856)</f>
        <v>2.285714286</v>
      </c>
      <c r="Z26" s="266">
        <f>IFERROR(__xludf.DUMMYFUNCTION("""COMPUTED_VALUE"""),0.880630571852711)</f>
        <v>0.8806305719</v>
      </c>
      <c r="AA26" s="266">
        <f>IFERROR(__xludf.DUMMYFUNCTION("""COMPUTED_VALUE"""),2.5)</f>
        <v>2.5</v>
      </c>
      <c r="AB26" s="265" t="str">
        <f>IFERROR(__xludf.DUMMYFUNCTION("""COMPUTED_VALUE"""),"GOOD BAD UGLY")</f>
        <v>GOOD BAD UGLY</v>
      </c>
      <c r="AC26" s="267" t="str">
        <f>IFERROR(__xludf.DUMMYFUNCTION("""COMPUTED_VALUE"""),"GIVEON")</f>
        <v>GIVEON</v>
      </c>
    </row>
    <row r="27">
      <c r="A27" s="177" t="s">
        <v>409</v>
      </c>
      <c r="B27" s="269" t="s">
        <v>381</v>
      </c>
      <c r="C27" s="270"/>
      <c r="D27" s="271"/>
      <c r="E27" s="272" t="s">
        <v>381</v>
      </c>
      <c r="F27" s="273"/>
      <c r="G27" s="284"/>
      <c r="H27" s="301"/>
      <c r="I27" s="276" t="s">
        <v>45</v>
      </c>
      <c r="J27" s="38">
        <f t="shared" si="5"/>
        <v>2</v>
      </c>
      <c r="K27" s="307" t="str">
        <f t="shared" si="6"/>
        <v>By and By</v>
      </c>
      <c r="L27" s="38">
        <f t="shared" si="7"/>
        <v>4</v>
      </c>
      <c r="M27" s="307" t="s">
        <v>464</v>
      </c>
      <c r="N27" s="303"/>
      <c r="O27" s="274" t="s">
        <v>381</v>
      </c>
      <c r="P27" s="273" t="s">
        <v>382</v>
      </c>
      <c r="Q27" s="278"/>
      <c r="R27" s="271" t="s">
        <v>381</v>
      </c>
      <c r="S27" s="270" t="s">
        <v>381</v>
      </c>
      <c r="T27" s="280"/>
      <c r="V27" s="298">
        <v>12.0</v>
      </c>
      <c r="W27" s="264">
        <f>IFERROR(__xludf.DUMMYFUNCTION("""COMPUTED_VALUE"""),45959.0)</f>
        <v>45959</v>
      </c>
      <c r="X27" s="265" t="str">
        <f>IFERROR(__xludf.DUMMYFUNCTION("""COMPUTED_VALUE"""),"Parker")</f>
        <v>Parker</v>
      </c>
      <c r="Y27" s="266">
        <f>IFERROR(__xludf.DUMMYFUNCTION("""COMPUTED_VALUE"""),3.142857142857143)</f>
        <v>3.142857143</v>
      </c>
      <c r="Z27" s="266">
        <f>IFERROR(__xludf.DUMMYFUNCTION("""COMPUTED_VALUE"""),1.8844151368961313)</f>
        <v>1.884415137</v>
      </c>
      <c r="AA27" s="266">
        <f>IFERROR(__xludf.DUMMYFUNCTION("""COMPUTED_VALUE"""),3.3333333333333335)</f>
        <v>3.333333333</v>
      </c>
      <c r="AB27" s="265" t="str">
        <f>IFERROR(__xludf.DUMMYFUNCTION("""COMPUTED_VALUE"""),"Too Bad I Have to Destroy You Now")</f>
        <v>Too Bad I Have to Destroy You Now</v>
      </c>
      <c r="AC27" s="267" t="str">
        <f>IFERROR(__xludf.DUMMYFUNCTION("""COMPUTED_VALUE"""),"Kid Cudi")</f>
        <v>Kid Cudi</v>
      </c>
    </row>
    <row r="28">
      <c r="A28" s="177" t="s">
        <v>403</v>
      </c>
      <c r="B28" s="269" t="s">
        <v>381</v>
      </c>
      <c r="C28" s="279"/>
      <c r="D28" s="283"/>
      <c r="E28" s="272"/>
      <c r="F28" s="273" t="s">
        <v>382</v>
      </c>
      <c r="G28" s="284"/>
      <c r="H28" s="301"/>
      <c r="I28" s="276" t="s">
        <v>436</v>
      </c>
      <c r="J28" s="38">
        <f t="shared" si="5"/>
        <v>2</v>
      </c>
      <c r="K28" s="276" t="str">
        <f t="shared" si="6"/>
        <v>Ghost Town</v>
      </c>
      <c r="L28" s="38">
        <f t="shared" si="7"/>
        <v>4</v>
      </c>
      <c r="M28" s="276" t="s">
        <v>466</v>
      </c>
      <c r="N28" s="303"/>
      <c r="O28" s="274" t="s">
        <v>381</v>
      </c>
      <c r="P28" s="273"/>
      <c r="Q28" s="272" t="s">
        <v>381</v>
      </c>
      <c r="R28" s="271" t="s">
        <v>381</v>
      </c>
      <c r="S28" s="270" t="s">
        <v>381</v>
      </c>
      <c r="T28" s="269"/>
      <c r="V28" s="298">
        <v>13.0</v>
      </c>
      <c r="W28" s="264">
        <f>IFERROR(__xludf.DUMMYFUNCTION("""COMPUTED_VALUE"""),45961.0)</f>
        <v>45961</v>
      </c>
      <c r="X28" s="265" t="str">
        <f>IFERROR(__xludf.DUMMYFUNCTION("""COMPUTED_VALUE"""),"Logan")</f>
        <v>Logan</v>
      </c>
      <c r="Y28" s="266">
        <f>IFERROR(__xludf.DUMMYFUNCTION("""COMPUTED_VALUE"""),3.2857142857142856)</f>
        <v>3.285714286</v>
      </c>
      <c r="Z28" s="266">
        <f>IFERROR(__xludf.DUMMYFUNCTION("""COMPUTED_VALUE"""),1.749635530559413)</f>
        <v>1.749635531</v>
      </c>
      <c r="AA28" s="266">
        <f>IFERROR(__xludf.DUMMYFUNCTION("""COMPUTED_VALUE"""),3.3333333333333335)</f>
        <v>3.333333333</v>
      </c>
      <c r="AB28" s="265" t="str">
        <f>IFERROR(__xludf.DUMMYFUNCTION("""COMPUTED_VALUE"""),"Lavender Town")</f>
        <v>Lavender Town</v>
      </c>
      <c r="AC28" s="267" t="str">
        <f>IFERROR(__xludf.DUMMYFUNCTION("""COMPUTED_VALUE"""),"Bitmaster")</f>
        <v>Bitmaster</v>
      </c>
    </row>
    <row r="29">
      <c r="I29" s="234"/>
      <c r="J29" s="234"/>
      <c r="K29" s="234"/>
      <c r="L29" s="234"/>
      <c r="M29" s="234"/>
    </row>
    <row r="30">
      <c r="I30" s="234"/>
      <c r="J30" s="234"/>
      <c r="K30" s="234"/>
      <c r="L30" s="234"/>
      <c r="M30" s="234"/>
    </row>
    <row r="31">
      <c r="A31" s="29" t="s">
        <v>467</v>
      </c>
      <c r="V31" s="262" t="s">
        <v>367</v>
      </c>
      <c r="W31" s="262" t="s">
        <v>19</v>
      </c>
      <c r="X31" s="262" t="s">
        <v>16</v>
      </c>
      <c r="Y31" s="262" t="s">
        <v>75</v>
      </c>
      <c r="Z31" s="262" t="s">
        <v>76</v>
      </c>
      <c r="AA31" s="262" t="s">
        <v>78</v>
      </c>
      <c r="AB31" s="262" t="s">
        <v>368</v>
      </c>
      <c r="AC31" s="262" t="s">
        <v>82</v>
      </c>
    </row>
    <row r="32">
      <c r="A32" s="262" t="s">
        <v>369</v>
      </c>
      <c r="B32" s="262" t="s">
        <v>370</v>
      </c>
      <c r="C32" s="262" t="s">
        <v>371</v>
      </c>
      <c r="D32" s="262" t="s">
        <v>372</v>
      </c>
      <c r="E32" s="262" t="s">
        <v>373</v>
      </c>
      <c r="F32" s="262" t="s">
        <v>374</v>
      </c>
      <c r="G32" s="262" t="s">
        <v>51</v>
      </c>
      <c r="H32" s="262" t="s">
        <v>412</v>
      </c>
      <c r="I32" s="29" t="s">
        <v>376</v>
      </c>
      <c r="J32" s="29" t="s">
        <v>377</v>
      </c>
      <c r="K32" s="29" t="s">
        <v>21</v>
      </c>
      <c r="L32" s="29" t="s">
        <v>378</v>
      </c>
      <c r="M32" s="29" t="s">
        <v>379</v>
      </c>
      <c r="N32" s="262" t="s">
        <v>412</v>
      </c>
      <c r="O32" s="262" t="s">
        <v>51</v>
      </c>
      <c r="P32" s="262" t="s">
        <v>374</v>
      </c>
      <c r="Q32" s="262" t="s">
        <v>373</v>
      </c>
      <c r="R32" s="262" t="s">
        <v>372</v>
      </c>
      <c r="S32" s="262" t="s">
        <v>371</v>
      </c>
      <c r="T32" s="262" t="s">
        <v>370</v>
      </c>
      <c r="V32" s="298">
        <v>2.0</v>
      </c>
      <c r="W32" s="264">
        <v>45964.0</v>
      </c>
      <c r="X32" s="265" t="s">
        <v>30</v>
      </c>
      <c r="Y32" s="266">
        <v>1.8571428571428572</v>
      </c>
      <c r="Z32" s="266">
        <v>1.4568627181693672</v>
      </c>
      <c r="AA32" s="266">
        <v>2.0</v>
      </c>
      <c r="AB32" s="265" t="s">
        <v>469</v>
      </c>
      <c r="AC32" s="267" t="s">
        <v>470</v>
      </c>
    </row>
    <row r="33">
      <c r="A33" s="177" t="s">
        <v>380</v>
      </c>
      <c r="B33" s="269"/>
      <c r="C33" s="270"/>
      <c r="D33" s="271" t="s">
        <v>381</v>
      </c>
      <c r="E33" s="272" t="s">
        <v>382</v>
      </c>
      <c r="F33" s="273"/>
      <c r="G33" s="274"/>
      <c r="H33" s="301"/>
      <c r="I33" s="276" t="str">
        <f>K35</f>
        <v>Chains &amp; Whips</v>
      </c>
      <c r="J33" s="38">
        <f t="shared" ref="J33:J43" si="9">COUNTIF(B33:H33,"x")</f>
        <v>2</v>
      </c>
      <c r="K33" s="302" t="str">
        <f t="shared" ref="K33:K43" si="10">IF(J33&gt;=4,I33,IF(L33&gt;=4,M33,"TBD"))</f>
        <v>Neverender</v>
      </c>
      <c r="L33" s="38">
        <f t="shared" ref="L33:L43" si="11">COUNTIF(N33:T33,"x")</f>
        <v>4</v>
      </c>
      <c r="M33" s="302" t="str">
        <f>K34</f>
        <v>Neverender</v>
      </c>
      <c r="N33" s="303"/>
      <c r="O33" s="274" t="s">
        <v>381</v>
      </c>
      <c r="P33" s="273" t="s">
        <v>382</v>
      </c>
      <c r="Q33" s="272"/>
      <c r="R33" s="271"/>
      <c r="S33" s="270" t="s">
        <v>381</v>
      </c>
      <c r="T33" s="269" t="s">
        <v>381</v>
      </c>
      <c r="V33" s="298">
        <v>3.0</v>
      </c>
      <c r="W33" s="264">
        <v>45966.0</v>
      </c>
      <c r="X33" s="265" t="s">
        <v>28</v>
      </c>
      <c r="Y33" s="266">
        <v>2.142857142857143</v>
      </c>
      <c r="Z33" s="266">
        <v>0.8329931278350429</v>
      </c>
      <c r="AA33" s="266">
        <v>2.3333333333333335</v>
      </c>
      <c r="AB33" s="265" t="s">
        <v>477</v>
      </c>
      <c r="AC33" s="267" t="s">
        <v>478</v>
      </c>
    </row>
    <row r="34">
      <c r="A34" s="177" t="s">
        <v>385</v>
      </c>
      <c r="B34" s="269" t="s">
        <v>381</v>
      </c>
      <c r="C34" s="270" t="s">
        <v>381</v>
      </c>
      <c r="D34" s="271"/>
      <c r="E34" s="272"/>
      <c r="F34" s="273" t="s">
        <v>382</v>
      </c>
      <c r="G34" s="274" t="s">
        <v>382</v>
      </c>
      <c r="H34" s="301" t="s">
        <v>381</v>
      </c>
      <c r="I34" s="302" t="str">
        <f>K39</f>
        <v>Neverender</v>
      </c>
      <c r="J34" s="38">
        <f t="shared" si="9"/>
        <v>5</v>
      </c>
      <c r="K34" s="302" t="str">
        <f t="shared" si="10"/>
        <v>Neverender</v>
      </c>
      <c r="L34" s="38">
        <f t="shared" si="11"/>
        <v>1</v>
      </c>
      <c r="M34" s="305" t="str">
        <f t="shared" ref="M34:M35" si="12">K36</f>
        <v>That's You</v>
      </c>
      <c r="N34" s="301"/>
      <c r="O34" s="274"/>
      <c r="P34" s="273"/>
      <c r="Q34" s="272"/>
      <c r="R34" s="271" t="s">
        <v>381</v>
      </c>
      <c r="S34" s="270"/>
      <c r="T34" s="280"/>
      <c r="V34" s="304">
        <v>4.0</v>
      </c>
      <c r="W34" s="264">
        <v>45968.0</v>
      </c>
      <c r="X34" s="265" t="s">
        <v>28</v>
      </c>
      <c r="Y34" s="266">
        <v>2.142857142857143</v>
      </c>
      <c r="Z34" s="266">
        <v>1.456862718169367</v>
      </c>
      <c r="AA34" s="266">
        <v>2.3333333333333335</v>
      </c>
      <c r="AB34" s="265" t="s">
        <v>480</v>
      </c>
      <c r="AC34" s="267" t="s">
        <v>481</v>
      </c>
    </row>
    <row r="35">
      <c r="A35" s="177" t="s">
        <v>389</v>
      </c>
      <c r="B35" s="269" t="s">
        <v>381</v>
      </c>
      <c r="C35" s="270"/>
      <c r="D35" s="271" t="s">
        <v>381</v>
      </c>
      <c r="E35" s="272"/>
      <c r="F35" s="273" t="s">
        <v>382</v>
      </c>
      <c r="G35" s="284"/>
      <c r="H35" s="301"/>
      <c r="I35" s="305" t="str">
        <f>K38</f>
        <v>Samurai</v>
      </c>
      <c r="J35" s="38">
        <f t="shared" si="9"/>
        <v>3</v>
      </c>
      <c r="K35" s="276" t="str">
        <f t="shared" si="10"/>
        <v>Chains &amp; Whips</v>
      </c>
      <c r="L35" s="38">
        <f t="shared" si="11"/>
        <v>4</v>
      </c>
      <c r="M35" s="276" t="str">
        <f t="shared" si="12"/>
        <v>Chains &amp; Whips</v>
      </c>
      <c r="N35" s="301" t="s">
        <v>381</v>
      </c>
      <c r="O35" s="274" t="s">
        <v>382</v>
      </c>
      <c r="P35" s="282"/>
      <c r="Q35" s="272" t="s">
        <v>382</v>
      </c>
      <c r="R35" s="283"/>
      <c r="S35" s="270" t="s">
        <v>381</v>
      </c>
      <c r="T35" s="269"/>
      <c r="V35" s="298">
        <v>5.0</v>
      </c>
      <c r="W35" s="264">
        <v>45971.0</v>
      </c>
      <c r="X35" s="265" t="s">
        <v>30</v>
      </c>
      <c r="Y35" s="266">
        <v>2.2857142857142856</v>
      </c>
      <c r="Z35" s="266">
        <v>1.6659862556700857</v>
      </c>
      <c r="AA35" s="266">
        <v>2.5</v>
      </c>
      <c r="AB35" s="265" t="s">
        <v>483</v>
      </c>
      <c r="AC35" s="267" t="s">
        <v>484</v>
      </c>
    </row>
    <row r="36">
      <c r="A36" s="177" t="s">
        <v>393</v>
      </c>
      <c r="B36" s="269"/>
      <c r="C36" s="279"/>
      <c r="D36" s="283"/>
      <c r="E36" s="272" t="s">
        <v>382</v>
      </c>
      <c r="F36" s="273" t="s">
        <v>382</v>
      </c>
      <c r="G36" s="284"/>
      <c r="H36" s="301" t="s">
        <v>381</v>
      </c>
      <c r="I36" s="332" t="s">
        <v>477</v>
      </c>
      <c r="J36" s="38">
        <f t="shared" si="9"/>
        <v>3</v>
      </c>
      <c r="K36" s="305" t="str">
        <f t="shared" si="10"/>
        <v>That's You</v>
      </c>
      <c r="L36" s="38">
        <f t="shared" si="11"/>
        <v>4</v>
      </c>
      <c r="M36" s="305" t="str">
        <f>K42</f>
        <v>That's You</v>
      </c>
      <c r="N36" s="303"/>
      <c r="O36" s="274" t="s">
        <v>381</v>
      </c>
      <c r="P36" s="273"/>
      <c r="Q36" s="278"/>
      <c r="R36" s="271" t="s">
        <v>381</v>
      </c>
      <c r="S36" s="270" t="s">
        <v>381</v>
      </c>
      <c r="T36" s="269" t="s">
        <v>381</v>
      </c>
      <c r="V36" s="298">
        <v>1.0</v>
      </c>
      <c r="W36" s="264">
        <v>45973.0</v>
      </c>
      <c r="X36" s="265" t="s">
        <v>27</v>
      </c>
      <c r="Y36" s="266">
        <v>1.7142857142857142</v>
      </c>
      <c r="Z36" s="266">
        <v>1.0301575072754254</v>
      </c>
      <c r="AA36" s="266">
        <v>1.8333333333333333</v>
      </c>
      <c r="AB36" s="265" t="s">
        <v>487</v>
      </c>
      <c r="AC36" s="267" t="s">
        <v>488</v>
      </c>
    </row>
    <row r="37">
      <c r="A37" s="177" t="s">
        <v>390</v>
      </c>
      <c r="B37" s="269"/>
      <c r="C37" s="270"/>
      <c r="D37" s="271" t="s">
        <v>381</v>
      </c>
      <c r="E37" s="272" t="s">
        <v>382</v>
      </c>
      <c r="F37" s="273"/>
      <c r="G37" s="274" t="s">
        <v>381</v>
      </c>
      <c r="H37" s="301" t="s">
        <v>381</v>
      </c>
      <c r="I37" s="332" t="s">
        <v>480</v>
      </c>
      <c r="J37" s="38">
        <f t="shared" si="9"/>
        <v>4</v>
      </c>
      <c r="K37" s="276" t="str">
        <f t="shared" si="10"/>
        <v>Chains &amp; Whips</v>
      </c>
      <c r="L37" s="38">
        <f t="shared" si="11"/>
        <v>3</v>
      </c>
      <c r="M37" s="302" t="str">
        <f>K41</f>
        <v>Brick by boring Brick</v>
      </c>
      <c r="N37" s="301"/>
      <c r="O37" s="284"/>
      <c r="P37" s="273" t="s">
        <v>382</v>
      </c>
      <c r="Q37" s="272"/>
      <c r="R37" s="271"/>
      <c r="S37" s="270" t="s">
        <v>381</v>
      </c>
      <c r="T37" s="269" t="s">
        <v>381</v>
      </c>
      <c r="V37" s="304">
        <v>7.0</v>
      </c>
      <c r="W37" s="264">
        <v>45975.0</v>
      </c>
      <c r="X37" s="265" t="s">
        <v>25</v>
      </c>
      <c r="Y37" s="266">
        <v>2.5714285714285716</v>
      </c>
      <c r="Z37" s="266">
        <v>1.3997084244475304</v>
      </c>
      <c r="AA37" s="266">
        <v>2.8333333333333335</v>
      </c>
      <c r="AB37" s="265" t="s">
        <v>106</v>
      </c>
      <c r="AC37" s="267" t="s">
        <v>490</v>
      </c>
    </row>
    <row r="38">
      <c r="A38" s="177" t="s">
        <v>398</v>
      </c>
      <c r="B38" s="269"/>
      <c r="C38" s="270" t="s">
        <v>381</v>
      </c>
      <c r="D38" s="271" t="s">
        <v>381</v>
      </c>
      <c r="E38" s="272"/>
      <c r="F38" s="273"/>
      <c r="G38" s="274" t="s">
        <v>382</v>
      </c>
      <c r="H38" s="301" t="s">
        <v>381</v>
      </c>
      <c r="I38" s="336" t="s">
        <v>487</v>
      </c>
      <c r="J38" s="38">
        <f t="shared" si="9"/>
        <v>4</v>
      </c>
      <c r="K38" s="305" t="str">
        <f t="shared" si="10"/>
        <v>Samurai</v>
      </c>
      <c r="L38" s="38">
        <f t="shared" si="11"/>
        <v>3</v>
      </c>
      <c r="M38" s="288" t="str">
        <f>K40</f>
        <v>Houston</v>
      </c>
      <c r="N38" s="303"/>
      <c r="O38" s="274"/>
      <c r="P38" s="273" t="s">
        <v>382</v>
      </c>
      <c r="Q38" s="272" t="s">
        <v>382</v>
      </c>
      <c r="R38" s="271"/>
      <c r="S38" s="270"/>
      <c r="T38" s="269" t="s">
        <v>381</v>
      </c>
      <c r="V38" s="298">
        <v>9.0</v>
      </c>
      <c r="W38" s="264">
        <v>45978.0</v>
      </c>
      <c r="X38" s="265" t="s">
        <v>25</v>
      </c>
      <c r="Y38" s="266">
        <v>2.857142857142857</v>
      </c>
      <c r="Z38" s="266">
        <v>0.8329931278350429</v>
      </c>
      <c r="AA38" s="266">
        <v>3.1666666666666665</v>
      </c>
      <c r="AB38" s="265" t="s">
        <v>492</v>
      </c>
      <c r="AC38" s="267" t="s">
        <v>493</v>
      </c>
    </row>
    <row r="39">
      <c r="A39" s="177" t="s">
        <v>394</v>
      </c>
      <c r="B39" s="269" t="s">
        <v>381</v>
      </c>
      <c r="C39" s="279"/>
      <c r="D39" s="271"/>
      <c r="E39" s="272"/>
      <c r="F39" s="273" t="s">
        <v>382</v>
      </c>
      <c r="G39" s="274" t="s">
        <v>381</v>
      </c>
      <c r="H39" s="301" t="s">
        <v>381</v>
      </c>
      <c r="I39" s="337" t="s">
        <v>469</v>
      </c>
      <c r="J39" s="38">
        <f t="shared" si="9"/>
        <v>4</v>
      </c>
      <c r="K39" s="302" t="str">
        <f t="shared" si="10"/>
        <v>Neverender</v>
      </c>
      <c r="L39" s="38">
        <f t="shared" si="11"/>
        <v>3</v>
      </c>
      <c r="M39" s="276" t="str">
        <f>K43</f>
        <v>The Seed (2.0)</v>
      </c>
      <c r="N39" s="303"/>
      <c r="O39" s="284"/>
      <c r="P39" s="273"/>
      <c r="Q39" s="272" t="s">
        <v>382</v>
      </c>
      <c r="R39" s="271" t="s">
        <v>381</v>
      </c>
      <c r="S39" s="270" t="s">
        <v>381</v>
      </c>
      <c r="T39" s="280"/>
      <c r="V39" s="304">
        <v>8.0</v>
      </c>
      <c r="W39" s="264">
        <v>45980.0</v>
      </c>
      <c r="X39" s="265" t="s">
        <v>30</v>
      </c>
      <c r="Y39" s="266">
        <v>2.5714285714285716</v>
      </c>
      <c r="Z39" s="266">
        <v>1.6781914463529615</v>
      </c>
      <c r="AA39" s="266">
        <v>2.8333333333333335</v>
      </c>
      <c r="AB39" s="265" t="s">
        <v>497</v>
      </c>
      <c r="AC39" s="267" t="s">
        <v>498</v>
      </c>
    </row>
    <row r="40">
      <c r="A40" s="177" t="s">
        <v>400</v>
      </c>
      <c r="B40" s="269"/>
      <c r="C40" s="279"/>
      <c r="D40" s="271" t="s">
        <v>381</v>
      </c>
      <c r="E40" s="272"/>
      <c r="F40" s="282"/>
      <c r="G40" s="274" t="s">
        <v>382</v>
      </c>
      <c r="H40" s="303"/>
      <c r="I40" s="337" t="s">
        <v>497</v>
      </c>
      <c r="J40" s="38">
        <f t="shared" si="9"/>
        <v>2</v>
      </c>
      <c r="K40" s="288" t="str">
        <f t="shared" si="10"/>
        <v>Houston</v>
      </c>
      <c r="L40" s="38">
        <f t="shared" si="11"/>
        <v>4</v>
      </c>
      <c r="M40" s="339" t="s">
        <v>492</v>
      </c>
      <c r="N40" s="301"/>
      <c r="O40" s="274"/>
      <c r="P40" s="273" t="s">
        <v>382</v>
      </c>
      <c r="Q40" s="272" t="s">
        <v>382</v>
      </c>
      <c r="R40" s="271"/>
      <c r="S40" s="270" t="s">
        <v>381</v>
      </c>
      <c r="T40" s="269" t="s">
        <v>381</v>
      </c>
      <c r="V40" s="298">
        <v>12.0</v>
      </c>
      <c r="W40" s="264">
        <v>45982.0</v>
      </c>
      <c r="X40" s="265" t="s">
        <v>29</v>
      </c>
      <c r="Y40" s="266">
        <v>3.2857142857142856</v>
      </c>
      <c r="Z40" s="266">
        <v>1.0301575072754254</v>
      </c>
      <c r="AA40" s="266">
        <v>3.5</v>
      </c>
      <c r="AB40" s="265" t="s">
        <v>499</v>
      </c>
      <c r="AC40" s="267" t="s">
        <v>500</v>
      </c>
    </row>
    <row r="41">
      <c r="A41" s="177" t="s">
        <v>413</v>
      </c>
      <c r="B41" s="269" t="s">
        <v>381</v>
      </c>
      <c r="C41" s="270" t="s">
        <v>381</v>
      </c>
      <c r="D41" s="271" t="s">
        <v>381</v>
      </c>
      <c r="E41" s="272" t="s">
        <v>382</v>
      </c>
      <c r="F41" s="273"/>
      <c r="G41" s="274" t="s">
        <v>382</v>
      </c>
      <c r="H41" s="301"/>
      <c r="I41" s="337" t="s">
        <v>483</v>
      </c>
      <c r="J41" s="38">
        <f t="shared" si="9"/>
        <v>5</v>
      </c>
      <c r="K41" s="302" t="str">
        <f t="shared" si="10"/>
        <v>Brick by boring Brick</v>
      </c>
      <c r="L41" s="38">
        <f t="shared" si="11"/>
        <v>1</v>
      </c>
      <c r="M41" s="340" t="s">
        <v>499</v>
      </c>
      <c r="N41" s="301"/>
      <c r="O41" s="274"/>
      <c r="P41" s="273" t="s">
        <v>382</v>
      </c>
      <c r="Q41" s="272"/>
      <c r="R41" s="283"/>
      <c r="S41" s="270"/>
      <c r="T41" s="269"/>
      <c r="V41" s="298">
        <v>6.0</v>
      </c>
      <c r="W41" s="264">
        <v>45985.0</v>
      </c>
      <c r="X41" s="265" t="s">
        <v>27</v>
      </c>
      <c r="Y41" s="266">
        <v>2.5714285714285716</v>
      </c>
      <c r="Z41" s="266">
        <v>0.9035079029052512</v>
      </c>
      <c r="AA41" s="266">
        <v>2.5</v>
      </c>
      <c r="AB41" s="265" t="s">
        <v>501</v>
      </c>
      <c r="AC41" s="267" t="s">
        <v>502</v>
      </c>
    </row>
    <row r="42">
      <c r="A42" s="177" t="s">
        <v>409</v>
      </c>
      <c r="B42" s="269" t="s">
        <v>381</v>
      </c>
      <c r="C42" s="270" t="s">
        <v>381</v>
      </c>
      <c r="D42" s="271" t="s">
        <v>381</v>
      </c>
      <c r="E42" s="272" t="s">
        <v>382</v>
      </c>
      <c r="F42" s="273" t="s">
        <v>382</v>
      </c>
      <c r="G42" s="274" t="s">
        <v>382</v>
      </c>
      <c r="H42" s="301"/>
      <c r="I42" s="336" t="s">
        <v>501</v>
      </c>
      <c r="J42" s="38">
        <f t="shared" si="9"/>
        <v>6</v>
      </c>
      <c r="K42" s="305" t="str">
        <f t="shared" si="10"/>
        <v>That's You</v>
      </c>
      <c r="L42" s="38">
        <f t="shared" si="11"/>
        <v>0</v>
      </c>
      <c r="M42" s="337" t="s">
        <v>503</v>
      </c>
      <c r="N42" s="303"/>
      <c r="O42" s="284"/>
      <c r="P42" s="282"/>
      <c r="Q42" s="278"/>
      <c r="R42" s="271"/>
      <c r="S42" s="279"/>
      <c r="T42" s="280"/>
      <c r="V42" s="298">
        <v>11.0</v>
      </c>
      <c r="W42" s="264">
        <v>45987.0</v>
      </c>
      <c r="X42" s="265" t="s">
        <v>30</v>
      </c>
      <c r="Y42" s="266">
        <v>3.142857142857143</v>
      </c>
      <c r="Z42" s="266">
        <v>1.456862718169367</v>
      </c>
      <c r="AA42" s="266">
        <v>3.5</v>
      </c>
      <c r="AB42" s="265" t="s">
        <v>503</v>
      </c>
      <c r="AC42" s="267" t="s">
        <v>504</v>
      </c>
    </row>
    <row r="43">
      <c r="A43" s="177" t="s">
        <v>403</v>
      </c>
      <c r="B43" s="269" t="s">
        <v>381</v>
      </c>
      <c r="C43" s="270"/>
      <c r="D43" s="271"/>
      <c r="E43" s="272"/>
      <c r="F43" s="273"/>
      <c r="G43" s="284"/>
      <c r="H43" s="303"/>
      <c r="I43" s="339" t="s">
        <v>106</v>
      </c>
      <c r="J43" s="38">
        <f t="shared" si="9"/>
        <v>1</v>
      </c>
      <c r="K43" s="276" t="str">
        <f t="shared" si="10"/>
        <v>The Seed (2.0)</v>
      </c>
      <c r="L43" s="38">
        <f t="shared" si="11"/>
        <v>5</v>
      </c>
      <c r="M43" s="332" t="s">
        <v>118</v>
      </c>
      <c r="N43" s="301"/>
      <c r="O43" s="274" t="s">
        <v>382</v>
      </c>
      <c r="P43" s="273" t="s">
        <v>382</v>
      </c>
      <c r="Q43" s="272" t="s">
        <v>382</v>
      </c>
      <c r="R43" s="271" t="s">
        <v>381</v>
      </c>
      <c r="S43" s="270" t="s">
        <v>381</v>
      </c>
      <c r="T43" s="269"/>
      <c r="V43" s="304">
        <v>10.0</v>
      </c>
      <c r="W43" s="264">
        <v>45989.0</v>
      </c>
      <c r="X43" s="265" t="s">
        <v>28</v>
      </c>
      <c r="Y43" s="266">
        <v>2.857142857142857</v>
      </c>
      <c r="Z43" s="266">
        <v>1.6413036132965795</v>
      </c>
      <c r="AA43" s="266">
        <v>3.1666666666666665</v>
      </c>
      <c r="AB43" s="265" t="s">
        <v>118</v>
      </c>
      <c r="AC43" s="267" t="s">
        <v>507</v>
      </c>
    </row>
    <row r="44">
      <c r="I44" s="234"/>
      <c r="J44" s="234"/>
      <c r="K44" s="234"/>
      <c r="L44" s="234"/>
      <c r="M44" s="234"/>
    </row>
    <row r="45">
      <c r="I45" s="234"/>
      <c r="J45" s="234"/>
      <c r="K45" s="234"/>
      <c r="L45" s="234"/>
      <c r="M45" s="234"/>
    </row>
    <row r="46">
      <c r="A46" s="29" t="s">
        <v>508</v>
      </c>
      <c r="V46" s="262" t="s">
        <v>367</v>
      </c>
      <c r="W46" s="262" t="s">
        <v>19</v>
      </c>
      <c r="X46" s="262" t="s">
        <v>16</v>
      </c>
      <c r="Y46" s="262" t="s">
        <v>75</v>
      </c>
      <c r="Z46" s="262" t="s">
        <v>76</v>
      </c>
      <c r="AA46" s="262" t="s">
        <v>78</v>
      </c>
      <c r="AB46" s="262" t="s">
        <v>368</v>
      </c>
      <c r="AC46" s="262" t="s">
        <v>82</v>
      </c>
    </row>
    <row r="47">
      <c r="A47" s="262" t="s">
        <v>369</v>
      </c>
      <c r="B47" s="262" t="s">
        <v>370</v>
      </c>
      <c r="C47" s="262" t="s">
        <v>371</v>
      </c>
      <c r="D47" s="262" t="s">
        <v>372</v>
      </c>
      <c r="E47" s="262" t="s">
        <v>373</v>
      </c>
      <c r="F47" s="262" t="s">
        <v>374</v>
      </c>
      <c r="G47" s="262" t="s">
        <v>51</v>
      </c>
      <c r="H47" s="341" t="s">
        <v>412</v>
      </c>
      <c r="I47" s="29" t="s">
        <v>376</v>
      </c>
      <c r="J47" s="29" t="s">
        <v>377</v>
      </c>
      <c r="K47" s="29" t="s">
        <v>21</v>
      </c>
      <c r="L47" s="29" t="s">
        <v>378</v>
      </c>
      <c r="M47" s="29" t="s">
        <v>379</v>
      </c>
      <c r="N47" s="342" t="s">
        <v>412</v>
      </c>
      <c r="O47" s="262" t="s">
        <v>51</v>
      </c>
      <c r="P47" s="262" t="s">
        <v>374</v>
      </c>
      <c r="Q47" s="262" t="s">
        <v>373</v>
      </c>
      <c r="R47" s="262" t="s">
        <v>372</v>
      </c>
      <c r="S47" s="262" t="s">
        <v>371</v>
      </c>
      <c r="T47" s="262" t="s">
        <v>370</v>
      </c>
      <c r="V47" s="298">
        <f t="shared" ref="V47:V48" si="13">RANK(Y47,$Y$47:$Y$60,1)</f>
        <v>6</v>
      </c>
      <c r="W47" s="264">
        <f>IFERROR(__xludf.DUMMYFUNCTION("FILTER(Rankings!D:J, Rankings!D:D &gt;= DATE(2025,12,1), Rankings!D:D &lt; DATE(2026,1,1), Rankings!U:U = TRUE)"),45992.0)</f>
        <v>45992</v>
      </c>
      <c r="X47" s="265" t="str">
        <f>IFERROR(__xludf.DUMMYFUNCTION("""COMPUTED_VALUE"""),"Logan")</f>
        <v>Logan</v>
      </c>
      <c r="Y47" s="266">
        <f>IFERROR(__xludf.DUMMYFUNCTION("""COMPUTED_VALUE"""),2.2857142857142856)</f>
        <v>2.285714286</v>
      </c>
      <c r="Z47" s="266">
        <f>IFERROR(__xludf.DUMMYFUNCTION("""COMPUTED_VALUE"""),1.4846149779161806)</f>
        <v>1.484614978</v>
      </c>
      <c r="AA47" s="266">
        <f>IFERROR(__xludf.DUMMYFUNCTION("""COMPUTED_VALUE"""),2.5)</f>
        <v>2.5</v>
      </c>
      <c r="AB47" s="265" t="str">
        <f>IFERROR(__xludf.DUMMYFUNCTION("""COMPUTED_VALUE"""),"Soap")</f>
        <v>Soap</v>
      </c>
      <c r="AC47" s="267" t="str">
        <f>IFERROR(__xludf.DUMMYFUNCTION("""COMPUTED_VALUE"""),"Yves, PinkPantheress")</f>
        <v>Yves, PinkPantheress</v>
      </c>
    </row>
    <row r="48">
      <c r="A48" s="177" t="s">
        <v>380</v>
      </c>
      <c r="B48" s="269"/>
      <c r="C48" s="270" t="s">
        <v>381</v>
      </c>
      <c r="D48" s="271" t="s">
        <v>381</v>
      </c>
      <c r="E48" s="272" t="s">
        <v>382</v>
      </c>
      <c r="F48" s="273" t="s">
        <v>382</v>
      </c>
      <c r="G48" s="274"/>
      <c r="H48" s="343"/>
      <c r="I48" s="305" t="str">
        <f>K50</f>
        <v>La Perla</v>
      </c>
      <c r="J48" s="38">
        <f t="shared" ref="J48:J60" si="14">COUNTIF(B48:H48,"x")</f>
        <v>4</v>
      </c>
      <c r="K48" s="305" t="str">
        <f>IF(J48&gt;=4,I48,IF(L48&gt;=3,M48,"TBD"))</f>
        <v>La Perla</v>
      </c>
      <c r="L48" s="38">
        <f t="shared" ref="L48:L60" si="15">COUNTIF(N48:T48,"x")</f>
        <v>2</v>
      </c>
      <c r="M48" s="302" t="str">
        <f>K49</f>
        <v>Digital Love</v>
      </c>
      <c r="N48" s="345"/>
      <c r="O48" s="274" t="s">
        <v>382</v>
      </c>
      <c r="P48" s="282"/>
      <c r="Q48" s="272"/>
      <c r="R48" s="271"/>
      <c r="S48" s="270"/>
      <c r="T48" s="269" t="s">
        <v>381</v>
      </c>
      <c r="V48" s="298">
        <f t="shared" si="13"/>
        <v>2</v>
      </c>
      <c r="W48" s="264">
        <f>IFERROR(__xludf.DUMMYFUNCTION("""COMPUTED_VALUE"""),45994.0)</f>
        <v>45994</v>
      </c>
      <c r="X48" s="265" t="str">
        <f>IFERROR(__xludf.DUMMYFUNCTION("""COMPUTED_VALUE"""),"Weston")</f>
        <v>Weston</v>
      </c>
      <c r="Y48" s="266">
        <f>IFERROR(__xludf.DUMMYFUNCTION("""COMPUTED_VALUE"""),1.7142857142857142)</f>
        <v>1.714285714</v>
      </c>
      <c r="Z48" s="266">
        <f>IFERROR(__xludf.DUMMYFUNCTION("""COMPUTED_VALUE"""),1.385051387833237)</f>
        <v>1.385051388</v>
      </c>
      <c r="AA48" s="266">
        <f>IFERROR(__xludf.DUMMYFUNCTION("""COMPUTED_VALUE"""),1.8333333333333333)</f>
        <v>1.833333333</v>
      </c>
      <c r="AB48" s="265" t="str">
        <f>IFERROR(__xludf.DUMMYFUNCTION("""COMPUTED_VALUE"""),"Digital Love")</f>
        <v>Digital Love</v>
      </c>
      <c r="AC48" s="267" t="str">
        <f>IFERROR(__xludf.DUMMYFUNCTION("""COMPUTED_VALUE"""),"Daft Punk")</f>
        <v>Daft Punk</v>
      </c>
    </row>
    <row r="49">
      <c r="A49" s="177" t="s">
        <v>385</v>
      </c>
      <c r="B49" s="269"/>
      <c r="C49" s="270" t="s">
        <v>381</v>
      </c>
      <c r="D49" s="271" t="s">
        <v>381</v>
      </c>
      <c r="E49" s="272" t="s">
        <v>382</v>
      </c>
      <c r="F49" s="273"/>
      <c r="G49" s="284"/>
      <c r="H49" s="343"/>
      <c r="I49" s="302" t="str">
        <f>K54</f>
        <v>Digital Love</v>
      </c>
      <c r="J49" s="38">
        <f t="shared" si="14"/>
        <v>3</v>
      </c>
      <c r="K49" s="302" t="str">
        <f t="shared" ref="K49:K60" si="16">IF(J49&gt;=3,I49,IF(L49&gt;=4,M49,"TBD"))</f>
        <v>Digital Love</v>
      </c>
      <c r="L49" s="38">
        <f t="shared" si="15"/>
        <v>2</v>
      </c>
      <c r="M49" s="288" t="str">
        <f t="shared" ref="M49:M50" si="17">K51</f>
        <v>Soap</v>
      </c>
      <c r="N49" s="346"/>
      <c r="O49" s="274"/>
      <c r="P49" s="273" t="s">
        <v>382</v>
      </c>
      <c r="Q49" s="272"/>
      <c r="R49" s="283"/>
      <c r="S49" s="270"/>
      <c r="T49" s="269" t="s">
        <v>381</v>
      </c>
      <c r="V49" s="304">
        <v>8.0</v>
      </c>
      <c r="W49" s="264">
        <f>IFERROR(__xludf.DUMMYFUNCTION("""COMPUTED_VALUE"""),45996.0)</f>
        <v>45996</v>
      </c>
      <c r="X49" s="265" t="str">
        <f>IFERROR(__xludf.DUMMYFUNCTION("""COMPUTED_VALUE"""),"Logan")</f>
        <v>Logan</v>
      </c>
      <c r="Y49" s="266">
        <f>IFERROR(__xludf.DUMMYFUNCTION("""COMPUTED_VALUE"""),2.4285714285714284)</f>
        <v>2.428571429</v>
      </c>
      <c r="Z49" s="266">
        <f>IFERROR(__xludf.DUMMYFUNCTION("""COMPUTED_VALUE"""),1.2936264483053452)</f>
        <v>1.293626448</v>
      </c>
      <c r="AA49" s="266">
        <f>IFERROR(__xludf.DUMMYFUNCTION("""COMPUTED_VALUE"""),2.5)</f>
        <v>2.5</v>
      </c>
      <c r="AB49" s="265" t="str">
        <f>IFERROR(__xludf.DUMMYFUNCTION("""COMPUTED_VALUE"""),"Mystery Lady")</f>
        <v>Mystery Lady</v>
      </c>
      <c r="AC49" s="267" t="str">
        <f>IFERROR(__xludf.DUMMYFUNCTION("""COMPUTED_VALUE"""),"Masego, Don Toliver")</f>
        <v>Masego, Don Toliver</v>
      </c>
    </row>
    <row r="50">
      <c r="A50" s="177" t="s">
        <v>389</v>
      </c>
      <c r="B50" s="280"/>
      <c r="C50" s="270"/>
      <c r="D50" s="271"/>
      <c r="E50" s="272"/>
      <c r="F50" s="273"/>
      <c r="G50" s="284"/>
      <c r="H50" s="343"/>
      <c r="I50" s="276" t="str">
        <f>K53</f>
        <v>Last Christmas</v>
      </c>
      <c r="J50" s="38">
        <f t="shared" si="14"/>
        <v>0</v>
      </c>
      <c r="K50" s="305" t="str">
        <f t="shared" si="16"/>
        <v>La Perla</v>
      </c>
      <c r="L50" s="38">
        <f t="shared" si="15"/>
        <v>5</v>
      </c>
      <c r="M50" s="305" t="str">
        <f t="shared" si="17"/>
        <v>La Perla</v>
      </c>
      <c r="N50" s="345"/>
      <c r="O50" s="274"/>
      <c r="P50" s="273" t="s">
        <v>382</v>
      </c>
      <c r="Q50" s="272" t="s">
        <v>382</v>
      </c>
      <c r="R50" s="271" t="s">
        <v>381</v>
      </c>
      <c r="S50" s="270" t="s">
        <v>381</v>
      </c>
      <c r="T50" s="269" t="s">
        <v>381</v>
      </c>
      <c r="V50" s="298">
        <f t="shared" ref="V50:V51" si="18">RANK(Y50,$Y$47:$Y$60,1)</f>
        <v>3</v>
      </c>
      <c r="W50" s="264">
        <f>IFERROR(__xludf.DUMMYFUNCTION("""COMPUTED_VALUE"""),45999.0)</f>
        <v>45999</v>
      </c>
      <c r="X50" s="265" t="str">
        <f>IFERROR(__xludf.DUMMYFUNCTION("""COMPUTED_VALUE"""),"Weston")</f>
        <v>Weston</v>
      </c>
      <c r="Y50" s="266">
        <f>IFERROR(__xludf.DUMMYFUNCTION("""COMPUTED_VALUE"""),2.142857142857143)</f>
        <v>2.142857143</v>
      </c>
      <c r="Z50" s="266">
        <f>IFERROR(__xludf.DUMMYFUNCTION("""COMPUTED_VALUE"""),0.832993127835043)</f>
        <v>0.8329931278</v>
      </c>
      <c r="AA50" s="266">
        <f>IFERROR(__xludf.DUMMYFUNCTION("""COMPUTED_VALUE"""),2.3333333333333335)</f>
        <v>2.333333333</v>
      </c>
      <c r="AB50" s="265" t="str">
        <f>IFERROR(__xludf.DUMMYFUNCTION("""COMPUTED_VALUE"""),"Clover")</f>
        <v>Clover</v>
      </c>
      <c r="AC50" s="267" t="str">
        <f>IFERROR(__xludf.DUMMYFUNCTION("""COMPUTED_VALUE"""),"IDK, Joey Valence &amp; Brae")</f>
        <v>IDK, Joey Valence &amp; Brae</v>
      </c>
    </row>
    <row r="51">
      <c r="A51" s="177" t="s">
        <v>393</v>
      </c>
      <c r="B51" s="269"/>
      <c r="C51" s="279"/>
      <c r="D51" s="271" t="s">
        <v>381</v>
      </c>
      <c r="E51" s="272"/>
      <c r="F51" s="282"/>
      <c r="G51" s="274" t="s">
        <v>382</v>
      </c>
      <c r="H51" s="343"/>
      <c r="I51" s="302" t="str">
        <f>K58</f>
        <v>Clover</v>
      </c>
      <c r="J51" s="38">
        <f t="shared" si="14"/>
        <v>2</v>
      </c>
      <c r="K51" s="288" t="str">
        <f t="shared" si="16"/>
        <v>Soap</v>
      </c>
      <c r="L51" s="38">
        <f t="shared" si="15"/>
        <v>4</v>
      </c>
      <c r="M51" s="288" t="str">
        <f>K59</f>
        <v>Soap</v>
      </c>
      <c r="N51" s="345"/>
      <c r="O51" s="274"/>
      <c r="P51" s="273" t="s">
        <v>382</v>
      </c>
      <c r="Q51" s="272" t="s">
        <v>381</v>
      </c>
      <c r="R51" s="271"/>
      <c r="S51" s="270" t="s">
        <v>381</v>
      </c>
      <c r="T51" s="269" t="s">
        <v>381</v>
      </c>
      <c r="V51" s="298">
        <f t="shared" si="18"/>
        <v>12</v>
      </c>
      <c r="W51" s="264">
        <f>IFERROR(__xludf.DUMMYFUNCTION("""COMPUTED_VALUE"""),46001.0)</f>
        <v>46001</v>
      </c>
      <c r="X51" s="265" t="str">
        <f>IFERROR(__xludf.DUMMYFUNCTION("""COMPUTED_VALUE"""),"Rosey")</f>
        <v>Rosey</v>
      </c>
      <c r="Y51" s="266">
        <f>IFERROR(__xludf.DUMMYFUNCTION("""COMPUTED_VALUE"""),2.7142857142857144)</f>
        <v>2.714285714</v>
      </c>
      <c r="Z51" s="266">
        <f>IFERROR(__xludf.DUMMYFUNCTION("""COMPUTED_VALUE"""),1.0301575072754257)</f>
        <v>1.030157507</v>
      </c>
      <c r="AA51" s="266">
        <f>IFERROR(__xludf.DUMMYFUNCTION("""COMPUTED_VALUE"""),3.0)</f>
        <v>3</v>
      </c>
      <c r="AB51" s="265" t="str">
        <f>IFERROR(__xludf.DUMMYFUNCTION("""COMPUTED_VALUE"""),"Cheesin'")</f>
        <v>Cheesin'</v>
      </c>
      <c r="AC51" s="267" t="str">
        <f>IFERROR(__xludf.DUMMYFUNCTION("""COMPUTED_VALUE"""),"Hxns, Melanie Faye, Sophie Meiers, Claud, Cautious Clay, Still Woozy, Remi Wolf")</f>
        <v>Hxns, Melanie Faye, Sophie Meiers, Claud, Cautious Clay, Still Woozy, Remi Wolf</v>
      </c>
    </row>
    <row r="52">
      <c r="A52" s="177" t="s">
        <v>390</v>
      </c>
      <c r="B52" s="269" t="s">
        <v>381</v>
      </c>
      <c r="C52" s="270"/>
      <c r="D52" s="271"/>
      <c r="E52" s="272"/>
      <c r="F52" s="273"/>
      <c r="G52" s="274" t="s">
        <v>382</v>
      </c>
      <c r="H52" s="343"/>
      <c r="I52" s="281" t="str">
        <f>K57</f>
        <v>drive ME crazy!</v>
      </c>
      <c r="J52" s="38">
        <f t="shared" si="14"/>
        <v>2</v>
      </c>
      <c r="K52" s="305" t="str">
        <f t="shared" si="16"/>
        <v>La Perla</v>
      </c>
      <c r="L52" s="38">
        <f t="shared" si="15"/>
        <v>4</v>
      </c>
      <c r="M52" s="305" t="str">
        <f>K56</f>
        <v>La Perla</v>
      </c>
      <c r="N52" s="346"/>
      <c r="O52" s="284"/>
      <c r="P52" s="273" t="s">
        <v>382</v>
      </c>
      <c r="Q52" s="272" t="s">
        <v>382</v>
      </c>
      <c r="R52" s="271" t="s">
        <v>381</v>
      </c>
      <c r="S52" s="270" t="s">
        <v>381</v>
      </c>
      <c r="T52" s="269"/>
      <c r="V52" s="304">
        <v>7.0</v>
      </c>
      <c r="W52" s="264">
        <f>IFERROR(__xludf.DUMMYFUNCTION("""COMPUTED_VALUE"""),46003.0)</f>
        <v>46003</v>
      </c>
      <c r="X52" s="265" t="str">
        <f>IFERROR(__xludf.DUMMYFUNCTION("""COMPUTED_VALUE"""),"Rosey")</f>
        <v>Rosey</v>
      </c>
      <c r="Y52" s="266">
        <f>IFERROR(__xludf.DUMMYFUNCTION("""COMPUTED_VALUE"""),2.4285714285714284)</f>
        <v>2.428571429</v>
      </c>
      <c r="Z52" s="266">
        <f>IFERROR(__xludf.DUMMYFUNCTION("""COMPUTED_VALUE"""),0.9035079029052513)</f>
        <v>0.9035079029</v>
      </c>
      <c r="AA52" s="266">
        <f>IFERROR(__xludf.DUMMYFUNCTION("""COMPUTED_VALUE"""),2.6666666666666665)</f>
        <v>2.666666667</v>
      </c>
      <c r="AB52" s="265" t="str">
        <f>IFERROR(__xludf.DUMMYFUNCTION("""COMPUTED_VALUE"""),"RNP")</f>
        <v>RNP</v>
      </c>
      <c r="AC52" s="267" t="str">
        <f>IFERROR(__xludf.DUMMYFUNCTION("""COMPUTED_VALUE"""),"Cordae, Anderson .Paak")</f>
        <v>Cordae, Anderson .Paak</v>
      </c>
    </row>
    <row r="53">
      <c r="A53" s="177" t="s">
        <v>398</v>
      </c>
      <c r="B53" s="269"/>
      <c r="C53" s="279"/>
      <c r="D53" s="271" t="s">
        <v>381</v>
      </c>
      <c r="E53" s="272" t="s">
        <v>382</v>
      </c>
      <c r="F53" s="273" t="s">
        <v>382</v>
      </c>
      <c r="G53" s="274"/>
      <c r="H53" s="343"/>
      <c r="I53" s="332" t="s">
        <v>93</v>
      </c>
      <c r="J53" s="38">
        <f t="shared" si="14"/>
        <v>3</v>
      </c>
      <c r="K53" s="276" t="str">
        <f t="shared" si="16"/>
        <v>Last Christmas</v>
      </c>
      <c r="L53" s="38">
        <f t="shared" si="15"/>
        <v>2</v>
      </c>
      <c r="M53" s="288" t="str">
        <f>K55</f>
        <v>Mystery Lady</v>
      </c>
      <c r="N53" s="345"/>
      <c r="O53" s="274" t="s">
        <v>382</v>
      </c>
      <c r="P53" s="282"/>
      <c r="Q53" s="272"/>
      <c r="R53" s="271"/>
      <c r="S53" s="270"/>
      <c r="T53" s="269" t="s">
        <v>381</v>
      </c>
      <c r="V53" s="298">
        <f t="shared" ref="V53:V54" si="19">RANK(Y53,$Y$47:$Y$60,1)</f>
        <v>13</v>
      </c>
      <c r="W53" s="264">
        <f>IFERROR(__xludf.DUMMYFUNCTION("""COMPUTED_VALUE"""),46006.0)</f>
        <v>46006</v>
      </c>
      <c r="X53" s="265" t="str">
        <f>IFERROR(__xludf.DUMMYFUNCTION("""COMPUTED_VALUE"""),"Rosey")</f>
        <v>Rosey</v>
      </c>
      <c r="Y53" s="266">
        <f>IFERROR(__xludf.DUMMYFUNCTION("""COMPUTED_VALUE"""),2.857142857142857)</f>
        <v>2.857142857</v>
      </c>
      <c r="Z53" s="266">
        <f>IFERROR(__xludf.DUMMYFUNCTION("""COMPUTED_VALUE"""),1.2453996981544782)</f>
        <v>1.245399698</v>
      </c>
      <c r="AA53" s="266">
        <f>IFERROR(__xludf.DUMMYFUNCTION("""COMPUTED_VALUE"""),3.0)</f>
        <v>3</v>
      </c>
      <c r="AB53" s="265" t="str">
        <f>IFERROR(__xludf.DUMMYFUNCTION("""COMPUTED_VALUE"""),"96 Quite Bitter Beings")</f>
        <v>96 Quite Bitter Beings</v>
      </c>
      <c r="AC53" s="267" t="str">
        <f>IFERROR(__xludf.DUMMYFUNCTION("""COMPUTED_VALUE"""),"CKY")</f>
        <v>CKY</v>
      </c>
    </row>
    <row r="54">
      <c r="A54" s="177" t="s">
        <v>394</v>
      </c>
      <c r="B54" s="269"/>
      <c r="C54" s="270" t="s">
        <v>381</v>
      </c>
      <c r="D54" s="271" t="s">
        <v>381</v>
      </c>
      <c r="E54" s="272"/>
      <c r="F54" s="273"/>
      <c r="G54" s="274" t="s">
        <v>382</v>
      </c>
      <c r="H54" s="343"/>
      <c r="I54" s="302" t="s">
        <v>515</v>
      </c>
      <c r="J54" s="38">
        <f t="shared" si="14"/>
        <v>3</v>
      </c>
      <c r="K54" s="302" t="str">
        <f t="shared" si="16"/>
        <v>Digital Love</v>
      </c>
      <c r="L54" s="38">
        <f t="shared" si="15"/>
        <v>2</v>
      </c>
      <c r="M54" s="276" t="str">
        <f>K60</f>
        <v>RNP</v>
      </c>
      <c r="N54" s="345"/>
      <c r="O54" s="284"/>
      <c r="P54" s="273" t="s">
        <v>382</v>
      </c>
      <c r="Q54" s="272" t="s">
        <v>382</v>
      </c>
      <c r="R54" s="271"/>
      <c r="S54" s="270"/>
      <c r="T54" s="280"/>
      <c r="V54" s="298">
        <f t="shared" si="19"/>
        <v>14</v>
      </c>
      <c r="W54" s="264">
        <f>IFERROR(__xludf.DUMMYFUNCTION("""COMPUTED_VALUE"""),46008.0)</f>
        <v>46008</v>
      </c>
      <c r="X54" s="265" t="str">
        <f>IFERROR(__xludf.DUMMYFUNCTION("""COMPUTED_VALUE"""),"Jake")</f>
        <v>Jake</v>
      </c>
      <c r="Y54" s="266">
        <f>IFERROR(__xludf.DUMMYFUNCTION("""COMPUTED_VALUE"""),3.142857142857143)</f>
        <v>3.142857143</v>
      </c>
      <c r="Z54" s="266">
        <f>IFERROR(__xludf.DUMMYFUNCTION("""COMPUTED_VALUE"""),2.531435020952764)</f>
        <v>2.531435021</v>
      </c>
      <c r="AA54" s="266">
        <f>IFERROR(__xludf.DUMMYFUNCTION("""COMPUTED_VALUE"""),3.5)</f>
        <v>3.5</v>
      </c>
      <c r="AB54" s="350" t="str">
        <f>IFERROR(__xludf.DUMMYFUNCTION("""COMPUTED_VALUE"""),"Give Up")</f>
        <v>Give Up</v>
      </c>
      <c r="AC54" s="267" t="str">
        <f>IFERROR(__xludf.DUMMYFUNCTION("""COMPUTED_VALUE"""),"Low Roar")</f>
        <v>Low Roar</v>
      </c>
    </row>
    <row r="55">
      <c r="A55" s="177" t="s">
        <v>400</v>
      </c>
      <c r="B55" s="269" t="s">
        <v>381</v>
      </c>
      <c r="C55" s="270" t="s">
        <v>381</v>
      </c>
      <c r="D55" s="283"/>
      <c r="E55" s="272" t="s">
        <v>382</v>
      </c>
      <c r="F55" s="273" t="s">
        <v>382</v>
      </c>
      <c r="G55" s="274"/>
      <c r="H55" s="351"/>
      <c r="I55" s="288" t="s">
        <v>518</v>
      </c>
      <c r="J55" s="38">
        <f t="shared" si="14"/>
        <v>4</v>
      </c>
      <c r="K55" s="288" t="str">
        <f t="shared" si="16"/>
        <v>Mystery Lady</v>
      </c>
      <c r="L55" s="38">
        <f t="shared" si="15"/>
        <v>2</v>
      </c>
      <c r="M55" s="302" t="s">
        <v>519</v>
      </c>
      <c r="N55" s="346"/>
      <c r="O55" s="274" t="s">
        <v>382</v>
      </c>
      <c r="P55" s="273"/>
      <c r="Q55" s="278"/>
      <c r="R55" s="271" t="s">
        <v>381</v>
      </c>
      <c r="S55" s="270"/>
      <c r="T55" s="280"/>
      <c r="V55" s="304">
        <v>9.0</v>
      </c>
      <c r="W55" s="264">
        <f>IFERROR(__xludf.DUMMYFUNCTION("""COMPUTED_VALUE"""),46010.0)</f>
        <v>46010</v>
      </c>
      <c r="X55" s="265" t="str">
        <f>IFERROR(__xludf.DUMMYFUNCTION("""COMPUTED_VALUE"""),"Weston")</f>
        <v>Weston</v>
      </c>
      <c r="Y55" s="266">
        <f>IFERROR(__xludf.DUMMYFUNCTION("""COMPUTED_VALUE"""),2.4285714285714284)</f>
        <v>2.428571429</v>
      </c>
      <c r="Z55" s="266">
        <f>IFERROR(__xludf.DUMMYFUNCTION("""COMPUTED_VALUE"""),1.6781914463529615)</f>
        <v>1.678191446</v>
      </c>
      <c r="AA55" s="266">
        <f>IFERROR(__xludf.DUMMYFUNCTION("""COMPUTED_VALUE"""),2.6666666666666665)</f>
        <v>2.666666667</v>
      </c>
      <c r="AB55" s="265" t="str">
        <f>IFERROR(__xludf.DUMMYFUNCTION("""COMPUTED_VALUE"""),"Don't kill the party")</f>
        <v>Don't kill the party</v>
      </c>
      <c r="AC55" s="267" t="str">
        <f>IFERROR(__xludf.DUMMYFUNCTION("""COMPUTED_VALUE"""),"Ty dolla $ign, Quavo, Juicy J")</f>
        <v>Ty dolla $ign, Quavo, Juicy J</v>
      </c>
    </row>
    <row r="56">
      <c r="A56" s="177" t="s">
        <v>413</v>
      </c>
      <c r="B56" s="269"/>
      <c r="C56" s="270" t="s">
        <v>381</v>
      </c>
      <c r="D56" s="271" t="s">
        <v>381</v>
      </c>
      <c r="E56" s="272" t="s">
        <v>382</v>
      </c>
      <c r="F56" s="273" t="s">
        <v>382</v>
      </c>
      <c r="G56" s="274" t="s">
        <v>382</v>
      </c>
      <c r="H56" s="343"/>
      <c r="I56" s="306" t="s">
        <v>520</v>
      </c>
      <c r="J56" s="38">
        <f t="shared" si="14"/>
        <v>5</v>
      </c>
      <c r="K56" s="305" t="str">
        <f t="shared" si="16"/>
        <v>La Perla</v>
      </c>
      <c r="L56" s="38">
        <f t="shared" si="15"/>
        <v>1</v>
      </c>
      <c r="M56" s="332" t="s">
        <v>521</v>
      </c>
      <c r="N56" s="346"/>
      <c r="O56" s="274"/>
      <c r="P56" s="282"/>
      <c r="Q56" s="272"/>
      <c r="R56" s="283"/>
      <c r="S56" s="270"/>
      <c r="T56" s="269" t="s">
        <v>381</v>
      </c>
      <c r="V56" s="298">
        <f t="shared" ref="V56:V59" si="20">RANK(Y56,$Y$47:$Y$60,1)</f>
        <v>11</v>
      </c>
      <c r="W56" s="264">
        <f>IFERROR(__xludf.DUMMYFUNCTION("""COMPUTED_VALUE"""),46013.0)</f>
        <v>46013</v>
      </c>
      <c r="X56" s="265" t="str">
        <f>IFERROR(__xludf.DUMMYFUNCTION("""COMPUTED_VALUE"""),"Giacomo")</f>
        <v>Giacomo</v>
      </c>
      <c r="Y56" s="266">
        <f>IFERROR(__xludf.DUMMYFUNCTION("""COMPUTED_VALUE"""),2.6666666666666665)</f>
        <v>2.666666667</v>
      </c>
      <c r="Z56" s="266">
        <f>IFERROR(__xludf.DUMMYFUNCTION("""COMPUTED_VALUE"""),1.247219128924647)</f>
        <v>1.247219129</v>
      </c>
      <c r="AA56" s="266">
        <f>IFERROR(__xludf.DUMMYFUNCTION("""COMPUTED_VALUE"""),2.6)</f>
        <v>2.6</v>
      </c>
      <c r="AB56" s="265" t="str">
        <f>IFERROR(__xludf.DUMMYFUNCTION("""COMPUTED_VALUE"""),"3AM in ToKEYo")</f>
        <v>3AM in ToKEYo</v>
      </c>
      <c r="AC56" s="267" t="str">
        <f>IFERROR(__xludf.DUMMYFUNCTION("""COMPUTED_VALUE"""),"Key Glock")</f>
        <v>Key Glock</v>
      </c>
    </row>
    <row r="57">
      <c r="A57" s="177" t="s">
        <v>418</v>
      </c>
      <c r="B57" s="269"/>
      <c r="C57" s="270" t="s">
        <v>381</v>
      </c>
      <c r="D57" s="271" t="s">
        <v>381</v>
      </c>
      <c r="E57" s="272"/>
      <c r="F57" s="273"/>
      <c r="G57" s="274" t="s">
        <v>382</v>
      </c>
      <c r="H57" s="343"/>
      <c r="I57" s="281" t="s">
        <v>524</v>
      </c>
      <c r="J57" s="38">
        <f t="shared" si="14"/>
        <v>3</v>
      </c>
      <c r="K57" s="281" t="str">
        <f t="shared" si="16"/>
        <v>drive ME crazy!</v>
      </c>
      <c r="L57" s="38">
        <f t="shared" si="15"/>
        <v>3</v>
      </c>
      <c r="M57" s="332" t="s">
        <v>525</v>
      </c>
      <c r="N57" s="345"/>
      <c r="O57" s="284"/>
      <c r="P57" s="273" t="s">
        <v>382</v>
      </c>
      <c r="Q57" s="272" t="s">
        <v>382</v>
      </c>
      <c r="R57" s="271"/>
      <c r="S57" s="279"/>
      <c r="T57" s="269" t="s">
        <v>381</v>
      </c>
      <c r="V57" s="298">
        <f t="shared" si="20"/>
        <v>1</v>
      </c>
      <c r="W57" s="264">
        <f>IFERROR(__xludf.DUMMYFUNCTION("""COMPUTED_VALUE"""),46015.0)</f>
        <v>46015</v>
      </c>
      <c r="X57" s="265" t="str">
        <f>IFERROR(__xludf.DUMMYFUNCTION("""COMPUTED_VALUE"""),"Rosey")</f>
        <v>Rosey</v>
      </c>
      <c r="Y57" s="266">
        <f>IFERROR(__xludf.DUMMYFUNCTION("""COMPUTED_VALUE"""),1.3333333333333333)</f>
        <v>1.333333333</v>
      </c>
      <c r="Z57" s="266">
        <f>IFERROR(__xludf.DUMMYFUNCTION("""COMPUTED_VALUE"""),0.4714045207910317)</f>
        <v>0.4714045208</v>
      </c>
      <c r="AA57" s="266">
        <f>IFERROR(__xludf.DUMMYFUNCTION("""COMPUTED_VALUE"""),1.4)</f>
        <v>1.4</v>
      </c>
      <c r="AB57" s="265" t="str">
        <f>IFERROR(__xludf.DUMMYFUNCTION("""COMPUTED_VALUE"""),"Last Christmas")</f>
        <v>Last Christmas</v>
      </c>
      <c r="AC57" s="267" t="str">
        <f>IFERROR(__xludf.DUMMYFUNCTION("""COMPUTED_VALUE"""),"Riff Raff")</f>
        <v>Riff Raff</v>
      </c>
    </row>
    <row r="58">
      <c r="A58" s="177" t="s">
        <v>458</v>
      </c>
      <c r="B58" s="269" t="s">
        <v>381</v>
      </c>
      <c r="C58" s="270" t="s">
        <v>381</v>
      </c>
      <c r="D58" s="271" t="s">
        <v>381</v>
      </c>
      <c r="E58" s="272"/>
      <c r="F58" s="273"/>
      <c r="G58" s="274" t="s">
        <v>382</v>
      </c>
      <c r="H58" s="351"/>
      <c r="I58" s="302" t="s">
        <v>526</v>
      </c>
      <c r="J58" s="38">
        <f t="shared" si="14"/>
        <v>4</v>
      </c>
      <c r="K58" s="302" t="str">
        <f t="shared" si="16"/>
        <v>Clover</v>
      </c>
      <c r="L58" s="38">
        <f t="shared" si="15"/>
        <v>1</v>
      </c>
      <c r="M58" s="328" t="s">
        <v>527</v>
      </c>
      <c r="N58" s="346"/>
      <c r="O58" s="274"/>
      <c r="P58" s="273" t="s">
        <v>382</v>
      </c>
      <c r="Q58" s="272"/>
      <c r="R58" s="283"/>
      <c r="S58" s="270"/>
      <c r="T58" s="269"/>
      <c r="V58" s="298">
        <f t="shared" si="20"/>
        <v>4</v>
      </c>
      <c r="W58" s="264">
        <f>IFERROR(__xludf.DUMMYFUNCTION("""COMPUTED_VALUE"""),46017.0)</f>
        <v>46017</v>
      </c>
      <c r="X58" s="265" t="str">
        <f>IFERROR(__xludf.DUMMYFUNCTION("""COMPUTED_VALUE"""),"Parker")</f>
        <v>Parker</v>
      </c>
      <c r="Y58" s="266">
        <f>IFERROR(__xludf.DUMMYFUNCTION("""COMPUTED_VALUE"""),2.1666666666666665)</f>
        <v>2.166666667</v>
      </c>
      <c r="Z58" s="266">
        <f>IFERROR(__xludf.DUMMYFUNCTION("""COMPUTED_VALUE"""),1.0671873729054746)</f>
        <v>1.067187373</v>
      </c>
      <c r="AA58" s="266">
        <f>IFERROR(__xludf.DUMMYFUNCTION("""COMPUTED_VALUE"""),2.2)</f>
        <v>2.2</v>
      </c>
      <c r="AB58" s="265" t="str">
        <f>IFERROR(__xludf.DUMMYFUNCTION("""COMPUTED_VALUE"""),"drive ME crazy!")</f>
        <v>drive ME crazy!</v>
      </c>
      <c r="AC58" s="267" t="str">
        <f>IFERROR(__xludf.DUMMYFUNCTION("""COMPUTED_VALUE"""),"Lil Yachty, Diana Gordon")</f>
        <v>Lil Yachty, Diana Gordon</v>
      </c>
    </row>
    <row r="59">
      <c r="A59" s="177" t="s">
        <v>409</v>
      </c>
      <c r="B59" s="269" t="s">
        <v>381</v>
      </c>
      <c r="C59" s="270" t="s">
        <v>381</v>
      </c>
      <c r="D59" s="271"/>
      <c r="E59" s="272" t="s">
        <v>382</v>
      </c>
      <c r="F59" s="273"/>
      <c r="G59" s="284"/>
      <c r="H59" s="343"/>
      <c r="I59" s="288" t="s">
        <v>528</v>
      </c>
      <c r="J59" s="38">
        <f t="shared" si="14"/>
        <v>3</v>
      </c>
      <c r="K59" s="288" t="str">
        <f t="shared" si="16"/>
        <v>Soap</v>
      </c>
      <c r="L59" s="38">
        <f t="shared" si="15"/>
        <v>3</v>
      </c>
      <c r="M59" s="306" t="s">
        <v>529</v>
      </c>
      <c r="N59" s="345"/>
      <c r="O59" s="274" t="s">
        <v>382</v>
      </c>
      <c r="P59" s="273" t="s">
        <v>382</v>
      </c>
      <c r="Q59" s="278"/>
      <c r="R59" s="271" t="s">
        <v>381</v>
      </c>
      <c r="S59" s="270"/>
      <c r="T59" s="280"/>
      <c r="V59" s="298">
        <f t="shared" si="20"/>
        <v>10</v>
      </c>
      <c r="W59" s="264">
        <f>IFERROR(__xludf.DUMMYFUNCTION("""COMPUTED_VALUE"""),46020.0)</f>
        <v>46020</v>
      </c>
      <c r="X59" s="265" t="str">
        <f>IFERROR(__xludf.DUMMYFUNCTION("""COMPUTED_VALUE"""),"Weston")</f>
        <v>Weston</v>
      </c>
      <c r="Y59" s="266">
        <f>IFERROR(__xludf.DUMMYFUNCTION("""COMPUTED_VALUE"""),2.5)</f>
        <v>2.5</v>
      </c>
      <c r="Z59" s="266">
        <f>IFERROR(__xludf.DUMMYFUNCTION("""COMPUTED_VALUE"""),1.6072751268321592)</f>
        <v>1.607275127</v>
      </c>
      <c r="AA59" s="266">
        <f>IFERROR(__xludf.DUMMYFUNCTION("""COMPUTED_VALUE"""),2.8)</f>
        <v>2.8</v>
      </c>
      <c r="AB59" s="265" t="str">
        <f>IFERROR(__xludf.DUMMYFUNCTION("""COMPUTED_VALUE"""),"Up and Go")</f>
        <v>Up and Go</v>
      </c>
      <c r="AC59" s="267" t="str">
        <f>IFERROR(__xludf.DUMMYFUNCTION("""COMPUTED_VALUE"""),"The Starting Line")</f>
        <v>The Starting Line</v>
      </c>
    </row>
    <row r="60">
      <c r="A60" s="177" t="s">
        <v>403</v>
      </c>
      <c r="B60" s="269" t="s">
        <v>381</v>
      </c>
      <c r="C60" s="270" t="s">
        <v>381</v>
      </c>
      <c r="D60" s="271" t="s">
        <v>381</v>
      </c>
      <c r="E60" s="272" t="s">
        <v>382</v>
      </c>
      <c r="F60" s="273"/>
      <c r="G60" s="284"/>
      <c r="H60" s="343"/>
      <c r="I60" s="332" t="s">
        <v>90</v>
      </c>
      <c r="J60" s="38">
        <f t="shared" si="14"/>
        <v>4</v>
      </c>
      <c r="K60" s="276" t="str">
        <f t="shared" si="16"/>
        <v>RNP</v>
      </c>
      <c r="L60" s="38">
        <f t="shared" si="15"/>
        <v>2</v>
      </c>
      <c r="M60" s="302" t="s">
        <v>531</v>
      </c>
      <c r="N60" s="345"/>
      <c r="O60" s="274" t="s">
        <v>382</v>
      </c>
      <c r="P60" s="273" t="s">
        <v>382</v>
      </c>
      <c r="Q60" s="272"/>
      <c r="R60" s="271"/>
      <c r="S60" s="270"/>
      <c r="T60" s="269"/>
      <c r="V60" s="304">
        <v>5.0</v>
      </c>
      <c r="W60" s="264">
        <f>IFERROR(__xludf.DUMMYFUNCTION("""COMPUTED_VALUE"""),46022.0)</f>
        <v>46022</v>
      </c>
      <c r="X60" s="265" t="str">
        <f>IFERROR(__xludf.DUMMYFUNCTION("""COMPUTED_VALUE"""),"Giacomo")</f>
        <v>Giacomo</v>
      </c>
      <c r="Y60" s="266">
        <f>IFERROR(__xludf.DUMMYFUNCTION("""COMPUTED_VALUE"""),2.1666666666666665)</f>
        <v>2.166666667</v>
      </c>
      <c r="Z60" s="266">
        <f>IFERROR(__xludf.DUMMYFUNCTION("""COMPUTED_VALUE"""),1.3437096247164249)</f>
        <v>1.343709625</v>
      </c>
      <c r="AA60" s="266">
        <f>IFERROR(__xludf.DUMMYFUNCTION("""COMPUTED_VALUE"""),2.4)</f>
        <v>2.4</v>
      </c>
      <c r="AB60" s="265" t="str">
        <f>IFERROR(__xludf.DUMMYFUNCTION("""COMPUTED_VALUE"""),"La Perla")</f>
        <v>La Perla</v>
      </c>
      <c r="AC60" s="267" t="str">
        <f>IFERROR(__xludf.DUMMYFUNCTION("""COMPUTED_VALUE"""),"ROSALÍA, Yahritza Y Su Esencia")</f>
        <v>ROSALÍA, Yahritza Y Su Esencia</v>
      </c>
    </row>
    <row r="61">
      <c r="I61" s="234"/>
      <c r="J61" s="234"/>
      <c r="K61" s="234"/>
      <c r="L61" s="234"/>
      <c r="M61" s="234"/>
    </row>
    <row r="62">
      <c r="I62" s="234"/>
      <c r="J62" s="234"/>
      <c r="K62" s="234"/>
      <c r="L62" s="234"/>
      <c r="M62" s="234"/>
    </row>
    <row r="63">
      <c r="I63" s="234"/>
      <c r="J63" s="234"/>
      <c r="K63" s="234"/>
      <c r="L63" s="234"/>
      <c r="M63" s="234"/>
    </row>
    <row r="64">
      <c r="I64" s="234"/>
      <c r="J64" s="234"/>
      <c r="K64" s="234"/>
      <c r="L64" s="234"/>
      <c r="M64" s="234"/>
    </row>
    <row r="65">
      <c r="I65" s="234"/>
      <c r="J65" s="234"/>
      <c r="K65" s="234"/>
      <c r="L65" s="234"/>
      <c r="M65" s="234"/>
    </row>
    <row r="66">
      <c r="I66" s="234"/>
      <c r="J66" s="234"/>
      <c r="K66" s="234"/>
      <c r="L66" s="234"/>
      <c r="M66" s="234"/>
    </row>
    <row r="67">
      <c r="I67" s="234"/>
      <c r="J67" s="234"/>
      <c r="K67" s="234"/>
      <c r="L67" s="234"/>
      <c r="M67" s="234"/>
    </row>
    <row r="68">
      <c r="I68" s="234"/>
      <c r="J68" s="234"/>
      <c r="K68" s="234"/>
      <c r="L68" s="234"/>
      <c r="M68" s="234"/>
    </row>
    <row r="69">
      <c r="I69" s="234"/>
      <c r="J69" s="234"/>
      <c r="K69" s="234"/>
      <c r="L69" s="234"/>
      <c r="M69" s="234"/>
    </row>
    <row r="70">
      <c r="I70" s="234"/>
      <c r="J70" s="234"/>
      <c r="K70" s="234"/>
      <c r="L70" s="234"/>
      <c r="M70" s="234"/>
    </row>
    <row r="71">
      <c r="I71" s="234"/>
      <c r="J71" s="234"/>
      <c r="K71" s="234"/>
      <c r="L71" s="234"/>
      <c r="M71" s="234"/>
    </row>
    <row r="72">
      <c r="I72" s="234"/>
      <c r="J72" s="234"/>
      <c r="K72" s="234"/>
      <c r="L72" s="234"/>
      <c r="M72" s="234"/>
    </row>
    <row r="73">
      <c r="I73" s="234"/>
      <c r="J73" s="234"/>
      <c r="K73" s="234"/>
      <c r="L73" s="234"/>
      <c r="M73" s="234"/>
    </row>
    <row r="74">
      <c r="I74" s="234"/>
      <c r="J74" s="234"/>
      <c r="K74" s="234"/>
      <c r="L74" s="234"/>
      <c r="M74" s="234"/>
    </row>
    <row r="75">
      <c r="I75" s="234"/>
      <c r="J75" s="234"/>
      <c r="K75" s="234"/>
      <c r="L75" s="234"/>
      <c r="M75" s="234"/>
    </row>
    <row r="76">
      <c r="I76" s="234"/>
      <c r="J76" s="234"/>
      <c r="K76" s="234"/>
      <c r="L76" s="234"/>
      <c r="M76" s="234"/>
    </row>
    <row r="77">
      <c r="I77" s="234"/>
      <c r="J77" s="234"/>
      <c r="K77" s="234"/>
      <c r="L77" s="234"/>
      <c r="M77" s="234"/>
    </row>
    <row r="78">
      <c r="I78" s="234"/>
      <c r="J78" s="234"/>
      <c r="K78" s="234"/>
      <c r="L78" s="234"/>
      <c r="M78" s="234"/>
    </row>
    <row r="79">
      <c r="I79" s="234"/>
      <c r="J79" s="234"/>
      <c r="K79" s="234"/>
      <c r="L79" s="234"/>
      <c r="M79" s="234"/>
    </row>
    <row r="80">
      <c r="I80" s="234"/>
      <c r="J80" s="234"/>
      <c r="K80" s="234"/>
      <c r="L80" s="234"/>
      <c r="M80" s="234"/>
    </row>
    <row r="81">
      <c r="I81" s="234"/>
      <c r="J81" s="234"/>
      <c r="K81" s="234"/>
      <c r="L81" s="234"/>
      <c r="M81" s="234"/>
    </row>
    <row r="82">
      <c r="I82" s="234"/>
      <c r="J82" s="234"/>
      <c r="K82" s="234"/>
      <c r="L82" s="234"/>
      <c r="M82" s="234"/>
    </row>
    <row r="83">
      <c r="I83" s="234"/>
      <c r="J83" s="234"/>
      <c r="K83" s="234"/>
      <c r="L83" s="234"/>
      <c r="M83" s="234"/>
    </row>
    <row r="84">
      <c r="I84" s="234"/>
      <c r="J84" s="234"/>
      <c r="K84" s="234"/>
      <c r="L84" s="234"/>
      <c r="M84" s="234"/>
    </row>
    <row r="85">
      <c r="I85" s="234"/>
      <c r="J85" s="234"/>
      <c r="K85" s="234"/>
      <c r="L85" s="234"/>
      <c r="M85" s="234"/>
    </row>
    <row r="86">
      <c r="I86" s="234"/>
      <c r="J86" s="234"/>
      <c r="K86" s="234"/>
      <c r="L86" s="234"/>
      <c r="M86" s="234"/>
    </row>
    <row r="87">
      <c r="I87" s="234"/>
      <c r="J87" s="234"/>
      <c r="K87" s="234"/>
      <c r="L87" s="234"/>
      <c r="M87" s="234"/>
    </row>
    <row r="88">
      <c r="I88" s="234"/>
      <c r="J88" s="234"/>
      <c r="K88" s="234"/>
      <c r="L88" s="234"/>
      <c r="M88" s="234"/>
    </row>
    <row r="89">
      <c r="I89" s="234"/>
      <c r="J89" s="234"/>
      <c r="K89" s="234"/>
      <c r="L89" s="234"/>
      <c r="M89" s="234"/>
    </row>
    <row r="90">
      <c r="I90" s="234"/>
      <c r="J90" s="234"/>
      <c r="K90" s="234"/>
      <c r="L90" s="234"/>
      <c r="M90" s="234"/>
    </row>
    <row r="91">
      <c r="I91" s="234"/>
      <c r="J91" s="234"/>
      <c r="K91" s="234"/>
      <c r="L91" s="234"/>
      <c r="M91" s="234"/>
    </row>
    <row r="92">
      <c r="I92" s="234"/>
      <c r="J92" s="234"/>
      <c r="K92" s="234"/>
      <c r="L92" s="234"/>
      <c r="M92" s="234"/>
    </row>
    <row r="93">
      <c r="I93" s="234"/>
      <c r="J93" s="234"/>
      <c r="K93" s="234"/>
      <c r="L93" s="234"/>
      <c r="M93" s="234"/>
    </row>
    <row r="94">
      <c r="I94" s="234"/>
      <c r="J94" s="234"/>
      <c r="K94" s="234"/>
      <c r="L94" s="234"/>
      <c r="M94" s="234"/>
    </row>
    <row r="95">
      <c r="I95" s="234"/>
      <c r="J95" s="234"/>
      <c r="K95" s="234"/>
      <c r="L95" s="234"/>
      <c r="M95" s="234"/>
    </row>
    <row r="96">
      <c r="I96" s="234"/>
      <c r="J96" s="234"/>
      <c r="K96" s="234"/>
      <c r="L96" s="234"/>
      <c r="M96" s="234"/>
    </row>
    <row r="97">
      <c r="I97" s="234"/>
      <c r="J97" s="234"/>
      <c r="K97" s="234"/>
      <c r="L97" s="234"/>
      <c r="M97" s="234"/>
    </row>
    <row r="98">
      <c r="I98" s="234"/>
      <c r="J98" s="234"/>
      <c r="K98" s="234"/>
      <c r="L98" s="234"/>
      <c r="M98" s="234"/>
    </row>
    <row r="99">
      <c r="I99" s="234"/>
      <c r="J99" s="234"/>
      <c r="K99" s="234"/>
      <c r="L99" s="234"/>
      <c r="M99" s="234"/>
    </row>
    <row r="100">
      <c r="I100" s="234"/>
      <c r="J100" s="234"/>
      <c r="K100" s="234"/>
      <c r="L100" s="234"/>
      <c r="M100" s="234"/>
    </row>
    <row r="101">
      <c r="I101" s="234"/>
      <c r="J101" s="234"/>
      <c r="K101" s="234"/>
      <c r="L101" s="234"/>
      <c r="M101" s="234"/>
    </row>
    <row r="102">
      <c r="I102" s="234"/>
      <c r="J102" s="234"/>
      <c r="K102" s="234"/>
      <c r="L102" s="234"/>
      <c r="M102" s="234"/>
    </row>
    <row r="103">
      <c r="I103" s="234"/>
      <c r="J103" s="234"/>
      <c r="K103" s="234"/>
      <c r="L103" s="234"/>
      <c r="M103" s="234"/>
    </row>
    <row r="104">
      <c r="I104" s="234"/>
      <c r="J104" s="234"/>
      <c r="K104" s="234"/>
      <c r="L104" s="234"/>
      <c r="M104" s="234"/>
    </row>
    <row r="105">
      <c r="I105" s="234"/>
      <c r="J105" s="234"/>
      <c r="K105" s="234"/>
      <c r="L105" s="234"/>
      <c r="M105" s="234"/>
    </row>
    <row r="106">
      <c r="I106" s="234"/>
      <c r="J106" s="234"/>
      <c r="K106" s="234"/>
      <c r="L106" s="234"/>
      <c r="M106" s="234"/>
    </row>
    <row r="107">
      <c r="I107" s="234"/>
      <c r="J107" s="234"/>
      <c r="K107" s="234"/>
      <c r="L107" s="234"/>
      <c r="M107" s="234"/>
    </row>
    <row r="108">
      <c r="I108" s="234"/>
      <c r="J108" s="234"/>
      <c r="K108" s="234"/>
      <c r="L108" s="234"/>
      <c r="M108" s="234"/>
    </row>
    <row r="109">
      <c r="I109" s="234"/>
      <c r="J109" s="234"/>
      <c r="K109" s="234"/>
      <c r="L109" s="234"/>
      <c r="M109" s="234"/>
    </row>
    <row r="110">
      <c r="I110" s="234"/>
      <c r="J110" s="234"/>
      <c r="K110" s="234"/>
      <c r="L110" s="234"/>
      <c r="M110" s="234"/>
    </row>
    <row r="111">
      <c r="I111" s="234"/>
      <c r="J111" s="234"/>
      <c r="K111" s="234"/>
      <c r="L111" s="234"/>
      <c r="M111" s="234"/>
    </row>
    <row r="112">
      <c r="I112" s="234"/>
      <c r="J112" s="234"/>
      <c r="K112" s="234"/>
      <c r="L112" s="234"/>
      <c r="M112" s="234"/>
    </row>
    <row r="113">
      <c r="I113" s="234"/>
      <c r="J113" s="234"/>
      <c r="K113" s="234"/>
      <c r="L113" s="234"/>
      <c r="M113" s="234"/>
    </row>
    <row r="114">
      <c r="I114" s="234"/>
      <c r="J114" s="234"/>
      <c r="K114" s="234"/>
      <c r="L114" s="234"/>
      <c r="M114" s="234"/>
    </row>
    <row r="115">
      <c r="I115" s="234"/>
      <c r="J115" s="234"/>
      <c r="K115" s="234"/>
      <c r="L115" s="234"/>
      <c r="M115" s="234"/>
    </row>
    <row r="116">
      <c r="I116" s="234"/>
      <c r="J116" s="234"/>
      <c r="K116" s="234"/>
      <c r="L116" s="234"/>
      <c r="M116" s="234"/>
    </row>
    <row r="117">
      <c r="I117" s="234"/>
      <c r="J117" s="234"/>
      <c r="K117" s="234"/>
      <c r="L117" s="234"/>
      <c r="M117" s="234"/>
    </row>
    <row r="118">
      <c r="I118" s="234"/>
      <c r="J118" s="234"/>
      <c r="K118" s="234"/>
      <c r="L118" s="234"/>
      <c r="M118" s="234"/>
    </row>
    <row r="119">
      <c r="I119" s="234"/>
      <c r="J119" s="234"/>
      <c r="K119" s="234"/>
      <c r="L119" s="234"/>
      <c r="M119" s="234"/>
    </row>
    <row r="120">
      <c r="I120" s="234"/>
      <c r="J120" s="234"/>
      <c r="K120" s="234"/>
      <c r="L120" s="234"/>
      <c r="M120" s="234"/>
    </row>
    <row r="121">
      <c r="I121" s="234"/>
      <c r="J121" s="234"/>
      <c r="K121" s="234"/>
      <c r="L121" s="234"/>
      <c r="M121" s="234"/>
    </row>
    <row r="122">
      <c r="I122" s="234"/>
      <c r="J122" s="234"/>
      <c r="K122" s="234"/>
      <c r="L122" s="234"/>
      <c r="M122" s="234"/>
    </row>
    <row r="123">
      <c r="I123" s="234"/>
      <c r="J123" s="234"/>
      <c r="K123" s="234"/>
      <c r="L123" s="234"/>
      <c r="M123" s="234"/>
    </row>
    <row r="124">
      <c r="I124" s="234"/>
      <c r="J124" s="234"/>
      <c r="K124" s="234"/>
      <c r="L124" s="234"/>
      <c r="M124" s="234"/>
    </row>
    <row r="125">
      <c r="I125" s="234"/>
      <c r="J125" s="234"/>
      <c r="K125" s="234"/>
      <c r="L125" s="234"/>
      <c r="M125" s="234"/>
    </row>
    <row r="126">
      <c r="I126" s="234"/>
      <c r="J126" s="234"/>
      <c r="K126" s="234"/>
      <c r="L126" s="234"/>
      <c r="M126" s="234"/>
    </row>
    <row r="127">
      <c r="I127" s="234"/>
      <c r="J127" s="234"/>
      <c r="K127" s="234"/>
      <c r="L127" s="234"/>
      <c r="M127" s="234"/>
    </row>
    <row r="128">
      <c r="I128" s="234"/>
      <c r="J128" s="234"/>
      <c r="K128" s="234"/>
      <c r="L128" s="234"/>
      <c r="M128" s="234"/>
    </row>
    <row r="129">
      <c r="I129" s="234"/>
      <c r="J129" s="234"/>
      <c r="K129" s="234"/>
      <c r="L129" s="234"/>
      <c r="M129" s="234"/>
    </row>
    <row r="130">
      <c r="I130" s="234"/>
      <c r="J130" s="234"/>
      <c r="K130" s="234"/>
      <c r="L130" s="234"/>
      <c r="M130" s="234"/>
    </row>
    <row r="131">
      <c r="I131" s="234"/>
      <c r="J131" s="234"/>
      <c r="K131" s="234"/>
      <c r="L131" s="234"/>
      <c r="M131" s="234"/>
    </row>
    <row r="132">
      <c r="I132" s="234"/>
      <c r="J132" s="234"/>
      <c r="K132" s="234"/>
      <c r="L132" s="234"/>
      <c r="M132" s="234"/>
    </row>
    <row r="133">
      <c r="I133" s="234"/>
      <c r="J133" s="234"/>
      <c r="K133" s="234"/>
      <c r="L133" s="234"/>
      <c r="M133" s="234"/>
    </row>
    <row r="134">
      <c r="I134" s="234"/>
      <c r="J134" s="234"/>
      <c r="K134" s="234"/>
      <c r="L134" s="234"/>
      <c r="M134" s="234"/>
    </row>
    <row r="135">
      <c r="I135" s="234"/>
      <c r="J135" s="234"/>
      <c r="K135" s="234"/>
      <c r="L135" s="234"/>
      <c r="M135" s="234"/>
    </row>
    <row r="136">
      <c r="I136" s="234"/>
      <c r="J136" s="234"/>
      <c r="K136" s="234"/>
      <c r="L136" s="234"/>
      <c r="M136" s="234"/>
    </row>
    <row r="137">
      <c r="I137" s="234"/>
      <c r="J137" s="234"/>
      <c r="K137" s="234"/>
      <c r="L137" s="234"/>
      <c r="M137" s="234"/>
    </row>
    <row r="138">
      <c r="I138" s="234"/>
      <c r="J138" s="234"/>
      <c r="K138" s="234"/>
      <c r="L138" s="234"/>
      <c r="M138" s="234"/>
    </row>
    <row r="139">
      <c r="I139" s="234"/>
      <c r="J139" s="234"/>
      <c r="K139" s="234"/>
      <c r="L139" s="234"/>
      <c r="M139" s="234"/>
    </row>
    <row r="140">
      <c r="I140" s="234"/>
      <c r="J140" s="234"/>
      <c r="K140" s="234"/>
      <c r="L140" s="234"/>
      <c r="M140" s="234"/>
    </row>
    <row r="141">
      <c r="I141" s="234"/>
      <c r="J141" s="234"/>
      <c r="K141" s="234"/>
      <c r="L141" s="234"/>
      <c r="M141" s="234"/>
    </row>
    <row r="142">
      <c r="I142" s="234"/>
      <c r="J142" s="234"/>
      <c r="K142" s="234"/>
      <c r="L142" s="234"/>
      <c r="M142" s="234"/>
    </row>
    <row r="143">
      <c r="I143" s="234"/>
      <c r="J143" s="234"/>
      <c r="K143" s="234"/>
      <c r="L143" s="234"/>
      <c r="M143" s="234"/>
    </row>
    <row r="144">
      <c r="I144" s="234"/>
      <c r="J144" s="234"/>
      <c r="K144" s="234"/>
      <c r="L144" s="234"/>
      <c r="M144" s="234"/>
    </row>
    <row r="145">
      <c r="I145" s="234"/>
      <c r="J145" s="234"/>
      <c r="K145" s="234"/>
      <c r="L145" s="234"/>
      <c r="M145" s="234"/>
    </row>
    <row r="146">
      <c r="I146" s="234"/>
      <c r="J146" s="234"/>
      <c r="K146" s="234"/>
      <c r="L146" s="234"/>
      <c r="M146" s="234"/>
    </row>
    <row r="147">
      <c r="I147" s="234"/>
      <c r="J147" s="234"/>
      <c r="K147" s="234"/>
      <c r="L147" s="234"/>
      <c r="M147" s="234"/>
    </row>
    <row r="148">
      <c r="I148" s="234"/>
      <c r="J148" s="234"/>
      <c r="K148" s="234"/>
      <c r="L148" s="234"/>
      <c r="M148" s="234"/>
    </row>
    <row r="149">
      <c r="I149" s="234"/>
      <c r="J149" s="234"/>
      <c r="K149" s="234"/>
      <c r="L149" s="234"/>
      <c r="M149" s="234"/>
    </row>
    <row r="150">
      <c r="I150" s="234"/>
      <c r="J150" s="234"/>
      <c r="K150" s="234"/>
      <c r="L150" s="234"/>
      <c r="M150" s="234"/>
    </row>
    <row r="151">
      <c r="I151" s="234"/>
      <c r="J151" s="234"/>
      <c r="K151" s="234"/>
      <c r="L151" s="234"/>
      <c r="M151" s="234"/>
    </row>
    <row r="152">
      <c r="I152" s="234"/>
      <c r="J152" s="234"/>
      <c r="K152" s="234"/>
      <c r="L152" s="234"/>
      <c r="M152" s="234"/>
    </row>
    <row r="153">
      <c r="I153" s="234"/>
      <c r="J153" s="234"/>
      <c r="K153" s="234"/>
      <c r="L153" s="234"/>
      <c r="M153" s="234"/>
    </row>
    <row r="154">
      <c r="I154" s="234"/>
      <c r="J154" s="234"/>
      <c r="K154" s="234"/>
      <c r="L154" s="234"/>
      <c r="M154" s="234"/>
    </row>
    <row r="155">
      <c r="I155" s="234"/>
      <c r="J155" s="234"/>
      <c r="K155" s="234"/>
      <c r="L155" s="234"/>
      <c r="M155" s="234"/>
    </row>
    <row r="156">
      <c r="I156" s="234"/>
      <c r="J156" s="234"/>
      <c r="K156" s="234"/>
      <c r="L156" s="234"/>
      <c r="M156" s="234"/>
    </row>
    <row r="157">
      <c r="I157" s="234"/>
      <c r="J157" s="234"/>
      <c r="K157" s="234"/>
      <c r="L157" s="234"/>
      <c r="M157" s="234"/>
    </row>
    <row r="158">
      <c r="I158" s="234"/>
      <c r="J158" s="234"/>
      <c r="K158" s="234"/>
      <c r="L158" s="234"/>
      <c r="M158" s="234"/>
    </row>
    <row r="159">
      <c r="I159" s="234"/>
      <c r="J159" s="234"/>
      <c r="K159" s="234"/>
      <c r="L159" s="234"/>
      <c r="M159" s="234"/>
    </row>
    <row r="160">
      <c r="I160" s="234"/>
      <c r="J160" s="234"/>
      <c r="K160" s="234"/>
      <c r="L160" s="234"/>
      <c r="M160" s="234"/>
    </row>
    <row r="161">
      <c r="I161" s="234"/>
      <c r="J161" s="234"/>
      <c r="K161" s="234"/>
      <c r="L161" s="234"/>
      <c r="M161" s="234"/>
    </row>
    <row r="162">
      <c r="I162" s="234"/>
      <c r="J162" s="234"/>
      <c r="K162" s="234"/>
      <c r="L162" s="234"/>
      <c r="M162" s="234"/>
    </row>
    <row r="163">
      <c r="I163" s="234"/>
      <c r="J163" s="234"/>
      <c r="K163" s="234"/>
      <c r="L163" s="234"/>
      <c r="M163" s="234"/>
    </row>
    <row r="164">
      <c r="I164" s="234"/>
      <c r="J164" s="234"/>
      <c r="K164" s="234"/>
      <c r="L164" s="234"/>
      <c r="M164" s="234"/>
    </row>
    <row r="165">
      <c r="I165" s="234"/>
      <c r="J165" s="234"/>
      <c r="K165" s="234"/>
      <c r="L165" s="234"/>
      <c r="M165" s="234"/>
    </row>
    <row r="166">
      <c r="I166" s="234"/>
      <c r="J166" s="234"/>
      <c r="K166" s="234"/>
      <c r="L166" s="234"/>
      <c r="M166" s="234"/>
    </row>
    <row r="167">
      <c r="I167" s="234"/>
      <c r="J167" s="234"/>
      <c r="K167" s="234"/>
      <c r="L167" s="234"/>
      <c r="M167" s="234"/>
    </row>
    <row r="168">
      <c r="I168" s="234"/>
      <c r="J168" s="234"/>
      <c r="K168" s="234"/>
      <c r="L168" s="234"/>
      <c r="M168" s="234"/>
    </row>
    <row r="169">
      <c r="I169" s="234"/>
      <c r="J169" s="234"/>
      <c r="K169" s="234"/>
      <c r="L169" s="234"/>
      <c r="M169" s="234"/>
    </row>
    <row r="170">
      <c r="I170" s="234"/>
      <c r="J170" s="234"/>
      <c r="K170" s="234"/>
      <c r="L170" s="234"/>
      <c r="M170" s="234"/>
    </row>
    <row r="171">
      <c r="I171" s="234"/>
      <c r="J171" s="234"/>
      <c r="K171" s="234"/>
      <c r="L171" s="234"/>
      <c r="M171" s="234"/>
    </row>
    <row r="172">
      <c r="I172" s="234"/>
      <c r="J172" s="234"/>
      <c r="K172" s="234"/>
      <c r="L172" s="234"/>
      <c r="M172" s="234"/>
    </row>
    <row r="173">
      <c r="I173" s="234"/>
      <c r="J173" s="234"/>
      <c r="K173" s="234"/>
      <c r="L173" s="234"/>
      <c r="M173" s="234"/>
    </row>
    <row r="174">
      <c r="I174" s="234"/>
      <c r="J174" s="234"/>
      <c r="K174" s="234"/>
      <c r="L174" s="234"/>
      <c r="M174" s="234"/>
    </row>
    <row r="175">
      <c r="I175" s="234"/>
      <c r="J175" s="234"/>
      <c r="K175" s="234"/>
      <c r="L175" s="234"/>
      <c r="M175" s="234"/>
    </row>
    <row r="176">
      <c r="I176" s="234"/>
      <c r="J176" s="234"/>
      <c r="K176" s="234"/>
      <c r="L176" s="234"/>
      <c r="M176" s="234"/>
    </row>
    <row r="177">
      <c r="I177" s="234"/>
      <c r="J177" s="234"/>
      <c r="K177" s="234"/>
      <c r="L177" s="234"/>
      <c r="M177" s="234"/>
    </row>
    <row r="178">
      <c r="I178" s="234"/>
      <c r="J178" s="234"/>
      <c r="K178" s="234"/>
      <c r="L178" s="234"/>
      <c r="M178" s="234"/>
    </row>
    <row r="179">
      <c r="I179" s="234"/>
      <c r="J179" s="234"/>
      <c r="K179" s="234"/>
      <c r="L179" s="234"/>
      <c r="M179" s="234"/>
    </row>
    <row r="180">
      <c r="I180" s="234"/>
      <c r="J180" s="234"/>
      <c r="K180" s="234"/>
      <c r="L180" s="234"/>
      <c r="M180" s="234"/>
    </row>
    <row r="181">
      <c r="I181" s="234"/>
      <c r="J181" s="234"/>
      <c r="K181" s="234"/>
      <c r="L181" s="234"/>
      <c r="M181" s="234"/>
    </row>
    <row r="182">
      <c r="I182" s="234"/>
      <c r="J182" s="234"/>
      <c r="K182" s="234"/>
      <c r="L182" s="234"/>
      <c r="M182" s="234"/>
    </row>
    <row r="183">
      <c r="I183" s="234"/>
      <c r="J183" s="234"/>
      <c r="K183" s="234"/>
      <c r="L183" s="234"/>
      <c r="M183" s="234"/>
    </row>
    <row r="184">
      <c r="I184" s="234"/>
      <c r="J184" s="234"/>
      <c r="K184" s="234"/>
      <c r="L184" s="234"/>
      <c r="M184" s="234"/>
    </row>
    <row r="185">
      <c r="I185" s="234"/>
      <c r="J185" s="234"/>
      <c r="K185" s="234"/>
      <c r="L185" s="234"/>
      <c r="M185" s="234"/>
    </row>
    <row r="186">
      <c r="I186" s="234"/>
      <c r="J186" s="234"/>
      <c r="K186" s="234"/>
      <c r="L186" s="234"/>
      <c r="M186" s="234"/>
    </row>
    <row r="187">
      <c r="I187" s="234"/>
      <c r="J187" s="234"/>
      <c r="K187" s="234"/>
      <c r="L187" s="234"/>
      <c r="M187" s="234"/>
    </row>
    <row r="188">
      <c r="I188" s="234"/>
      <c r="J188" s="234"/>
      <c r="K188" s="234"/>
      <c r="L188" s="234"/>
      <c r="M188" s="234"/>
    </row>
    <row r="189">
      <c r="I189" s="234"/>
      <c r="J189" s="234"/>
      <c r="K189" s="234"/>
      <c r="L189" s="234"/>
      <c r="M189" s="234"/>
    </row>
    <row r="190">
      <c r="I190" s="234"/>
      <c r="J190" s="234"/>
      <c r="K190" s="234"/>
      <c r="L190" s="234"/>
      <c r="M190" s="234"/>
    </row>
    <row r="191">
      <c r="I191" s="234"/>
      <c r="J191" s="234"/>
      <c r="K191" s="234"/>
      <c r="L191" s="234"/>
      <c r="M191" s="234"/>
    </row>
    <row r="192">
      <c r="I192" s="234"/>
      <c r="J192" s="234"/>
      <c r="K192" s="234"/>
      <c r="L192" s="234"/>
      <c r="M192" s="234"/>
    </row>
    <row r="193">
      <c r="I193" s="234"/>
      <c r="J193" s="234"/>
      <c r="K193" s="234"/>
      <c r="L193" s="234"/>
      <c r="M193" s="234"/>
    </row>
    <row r="194">
      <c r="I194" s="234"/>
      <c r="J194" s="234"/>
      <c r="K194" s="234"/>
      <c r="L194" s="234"/>
      <c r="M194" s="234"/>
    </row>
    <row r="195">
      <c r="I195" s="234"/>
      <c r="J195" s="234"/>
      <c r="K195" s="234"/>
      <c r="L195" s="234"/>
      <c r="M195" s="234"/>
    </row>
    <row r="196">
      <c r="I196" s="234"/>
      <c r="J196" s="234"/>
      <c r="K196" s="234"/>
      <c r="L196" s="234"/>
      <c r="M196" s="234"/>
    </row>
    <row r="197">
      <c r="I197" s="234"/>
      <c r="J197" s="234"/>
      <c r="K197" s="234"/>
      <c r="L197" s="234"/>
      <c r="M197" s="234"/>
    </row>
    <row r="198">
      <c r="I198" s="234"/>
      <c r="J198" s="234"/>
      <c r="K198" s="234"/>
      <c r="L198" s="234"/>
      <c r="M198" s="234"/>
    </row>
    <row r="199">
      <c r="I199" s="234"/>
      <c r="J199" s="234"/>
      <c r="K199" s="234"/>
      <c r="L199" s="234"/>
      <c r="M199" s="234"/>
    </row>
    <row r="200">
      <c r="I200" s="234"/>
      <c r="J200" s="234"/>
      <c r="K200" s="234"/>
      <c r="L200" s="234"/>
      <c r="M200" s="234"/>
    </row>
    <row r="201">
      <c r="I201" s="234"/>
      <c r="J201" s="234"/>
      <c r="K201" s="234"/>
      <c r="L201" s="234"/>
      <c r="M201" s="234"/>
    </row>
    <row r="202">
      <c r="I202" s="234"/>
      <c r="J202" s="234"/>
      <c r="K202" s="234"/>
      <c r="L202" s="234"/>
      <c r="M202" s="234"/>
    </row>
    <row r="203">
      <c r="I203" s="234"/>
      <c r="J203" s="234"/>
      <c r="K203" s="234"/>
      <c r="L203" s="234"/>
      <c r="M203" s="234"/>
    </row>
    <row r="204">
      <c r="I204" s="234"/>
      <c r="J204" s="234"/>
      <c r="K204" s="234"/>
      <c r="L204" s="234"/>
      <c r="M204" s="234"/>
    </row>
    <row r="205">
      <c r="I205" s="234"/>
      <c r="J205" s="234"/>
      <c r="K205" s="234"/>
      <c r="L205" s="234"/>
      <c r="M205" s="234"/>
    </row>
    <row r="206">
      <c r="I206" s="234"/>
      <c r="J206" s="234"/>
      <c r="K206" s="234"/>
      <c r="L206" s="234"/>
      <c r="M206" s="234"/>
    </row>
    <row r="207">
      <c r="I207" s="234"/>
      <c r="J207" s="234"/>
      <c r="K207" s="234"/>
      <c r="L207" s="234"/>
      <c r="M207" s="234"/>
    </row>
    <row r="208">
      <c r="I208" s="234"/>
      <c r="J208" s="234"/>
      <c r="K208" s="234"/>
      <c r="L208" s="234"/>
      <c r="M208" s="234"/>
    </row>
    <row r="209">
      <c r="I209" s="234"/>
      <c r="J209" s="234"/>
      <c r="K209" s="234"/>
      <c r="L209" s="234"/>
      <c r="M209" s="234"/>
    </row>
    <row r="210">
      <c r="I210" s="234"/>
      <c r="J210" s="234"/>
      <c r="K210" s="234"/>
      <c r="L210" s="234"/>
      <c r="M210" s="234"/>
    </row>
    <row r="211">
      <c r="I211" s="234"/>
      <c r="J211" s="234"/>
      <c r="K211" s="234"/>
      <c r="L211" s="234"/>
      <c r="M211" s="234"/>
    </row>
    <row r="212">
      <c r="I212" s="234"/>
      <c r="J212" s="234"/>
      <c r="K212" s="234"/>
      <c r="L212" s="234"/>
      <c r="M212" s="234"/>
    </row>
    <row r="213">
      <c r="I213" s="234"/>
      <c r="J213" s="234"/>
      <c r="K213" s="234"/>
      <c r="L213" s="234"/>
      <c r="M213" s="234"/>
    </row>
    <row r="214">
      <c r="I214" s="234"/>
      <c r="J214" s="234"/>
      <c r="K214" s="234"/>
      <c r="L214" s="234"/>
      <c r="M214" s="234"/>
    </row>
    <row r="215">
      <c r="I215" s="234"/>
      <c r="J215" s="234"/>
      <c r="K215" s="234"/>
      <c r="L215" s="234"/>
      <c r="M215" s="234"/>
    </row>
    <row r="216">
      <c r="I216" s="234"/>
      <c r="J216" s="234"/>
      <c r="K216" s="234"/>
      <c r="L216" s="234"/>
      <c r="M216" s="234"/>
    </row>
    <row r="217">
      <c r="I217" s="234"/>
      <c r="J217" s="234"/>
      <c r="K217" s="234"/>
      <c r="L217" s="234"/>
      <c r="M217" s="234"/>
    </row>
    <row r="218">
      <c r="I218" s="234"/>
      <c r="J218" s="234"/>
      <c r="K218" s="234"/>
      <c r="L218" s="234"/>
      <c r="M218" s="234"/>
    </row>
    <row r="219">
      <c r="I219" s="234"/>
      <c r="J219" s="234"/>
      <c r="K219" s="234"/>
      <c r="L219" s="234"/>
      <c r="M219" s="234"/>
    </row>
    <row r="220">
      <c r="I220" s="234"/>
      <c r="J220" s="234"/>
      <c r="K220" s="234"/>
      <c r="L220" s="234"/>
      <c r="M220" s="234"/>
    </row>
    <row r="221">
      <c r="I221" s="234"/>
      <c r="J221" s="234"/>
      <c r="K221" s="234"/>
      <c r="L221" s="234"/>
      <c r="M221" s="234"/>
    </row>
    <row r="222">
      <c r="I222" s="234"/>
      <c r="J222" s="234"/>
      <c r="K222" s="234"/>
      <c r="L222" s="234"/>
      <c r="M222" s="234"/>
    </row>
    <row r="223">
      <c r="I223" s="234"/>
      <c r="J223" s="234"/>
      <c r="K223" s="234"/>
      <c r="L223" s="234"/>
      <c r="M223" s="234"/>
    </row>
    <row r="224">
      <c r="I224" s="234"/>
      <c r="J224" s="234"/>
      <c r="K224" s="234"/>
      <c r="L224" s="234"/>
      <c r="M224" s="234"/>
    </row>
    <row r="225">
      <c r="I225" s="234"/>
      <c r="J225" s="234"/>
      <c r="K225" s="234"/>
      <c r="L225" s="234"/>
      <c r="M225" s="234"/>
    </row>
    <row r="226">
      <c r="I226" s="234"/>
      <c r="J226" s="234"/>
      <c r="K226" s="234"/>
      <c r="L226" s="234"/>
      <c r="M226" s="234"/>
    </row>
    <row r="227">
      <c r="I227" s="234"/>
      <c r="J227" s="234"/>
      <c r="K227" s="234"/>
      <c r="L227" s="234"/>
      <c r="M227" s="234"/>
    </row>
    <row r="228">
      <c r="I228" s="234"/>
      <c r="J228" s="234"/>
      <c r="K228" s="234"/>
      <c r="L228" s="234"/>
      <c r="M228" s="234"/>
    </row>
    <row r="229">
      <c r="I229" s="234"/>
      <c r="J229" s="234"/>
      <c r="K229" s="234"/>
      <c r="L229" s="234"/>
      <c r="M229" s="234"/>
    </row>
    <row r="230">
      <c r="I230" s="234"/>
      <c r="J230" s="234"/>
      <c r="K230" s="234"/>
      <c r="L230" s="234"/>
      <c r="M230" s="234"/>
    </row>
    <row r="231">
      <c r="I231" s="234"/>
      <c r="J231" s="234"/>
      <c r="K231" s="234"/>
      <c r="L231" s="234"/>
      <c r="M231" s="234"/>
    </row>
    <row r="232">
      <c r="I232" s="234"/>
      <c r="J232" s="234"/>
      <c r="K232" s="234"/>
      <c r="L232" s="234"/>
      <c r="M232" s="234"/>
    </row>
    <row r="233">
      <c r="I233" s="234"/>
      <c r="J233" s="234"/>
      <c r="K233" s="234"/>
      <c r="L233" s="234"/>
      <c r="M233" s="234"/>
    </row>
    <row r="234">
      <c r="I234" s="234"/>
      <c r="J234" s="234"/>
      <c r="K234" s="234"/>
      <c r="L234" s="234"/>
      <c r="M234" s="234"/>
    </row>
    <row r="235">
      <c r="I235" s="234"/>
      <c r="J235" s="234"/>
      <c r="K235" s="234"/>
      <c r="L235" s="234"/>
      <c r="M235" s="234"/>
    </row>
    <row r="236">
      <c r="I236" s="234"/>
      <c r="J236" s="234"/>
      <c r="K236" s="234"/>
      <c r="L236" s="234"/>
      <c r="M236" s="234"/>
    </row>
    <row r="237">
      <c r="I237" s="234"/>
      <c r="J237" s="234"/>
      <c r="K237" s="234"/>
      <c r="L237" s="234"/>
      <c r="M237" s="234"/>
    </row>
    <row r="238">
      <c r="I238" s="234"/>
      <c r="J238" s="234"/>
      <c r="K238" s="234"/>
      <c r="L238" s="234"/>
      <c r="M238" s="234"/>
    </row>
    <row r="239">
      <c r="I239" s="234"/>
      <c r="J239" s="234"/>
      <c r="K239" s="234"/>
      <c r="L239" s="234"/>
      <c r="M239" s="234"/>
    </row>
    <row r="240">
      <c r="I240" s="234"/>
      <c r="J240" s="234"/>
      <c r="K240" s="234"/>
      <c r="L240" s="234"/>
      <c r="M240" s="234"/>
    </row>
    <row r="241">
      <c r="I241" s="234"/>
      <c r="J241" s="234"/>
      <c r="K241" s="234"/>
      <c r="L241" s="234"/>
      <c r="M241" s="234"/>
    </row>
    <row r="242">
      <c r="I242" s="234"/>
      <c r="J242" s="234"/>
      <c r="K242" s="234"/>
      <c r="L242" s="234"/>
      <c r="M242" s="234"/>
    </row>
    <row r="243">
      <c r="I243" s="234"/>
      <c r="J243" s="234"/>
      <c r="K243" s="234"/>
      <c r="L243" s="234"/>
      <c r="M243" s="234"/>
    </row>
    <row r="244">
      <c r="I244" s="234"/>
      <c r="J244" s="234"/>
      <c r="K244" s="234"/>
      <c r="L244" s="234"/>
      <c r="M244" s="234"/>
    </row>
    <row r="245">
      <c r="I245" s="234"/>
      <c r="J245" s="234"/>
      <c r="K245" s="234"/>
      <c r="L245" s="234"/>
      <c r="M245" s="234"/>
    </row>
    <row r="246">
      <c r="I246" s="234"/>
      <c r="J246" s="234"/>
      <c r="K246" s="234"/>
      <c r="L246" s="234"/>
      <c r="M246" s="234"/>
    </row>
    <row r="247">
      <c r="I247" s="234"/>
      <c r="J247" s="234"/>
      <c r="K247" s="234"/>
      <c r="L247" s="234"/>
      <c r="M247" s="234"/>
    </row>
    <row r="248">
      <c r="I248" s="234"/>
      <c r="J248" s="234"/>
      <c r="K248" s="234"/>
      <c r="L248" s="234"/>
      <c r="M248" s="234"/>
    </row>
    <row r="249">
      <c r="I249" s="234"/>
      <c r="J249" s="234"/>
      <c r="K249" s="234"/>
      <c r="L249" s="234"/>
      <c r="M249" s="234"/>
    </row>
    <row r="250">
      <c r="I250" s="234"/>
      <c r="J250" s="234"/>
      <c r="K250" s="234"/>
      <c r="L250" s="234"/>
      <c r="M250" s="234"/>
    </row>
    <row r="251">
      <c r="I251" s="234"/>
      <c r="J251" s="234"/>
      <c r="K251" s="234"/>
      <c r="L251" s="234"/>
      <c r="M251" s="234"/>
    </row>
    <row r="252">
      <c r="I252" s="234"/>
      <c r="J252" s="234"/>
      <c r="K252" s="234"/>
      <c r="L252" s="234"/>
      <c r="M252" s="234"/>
    </row>
    <row r="253">
      <c r="I253" s="234"/>
      <c r="J253" s="234"/>
      <c r="K253" s="234"/>
      <c r="L253" s="234"/>
      <c r="M253" s="234"/>
    </row>
    <row r="254">
      <c r="I254" s="234"/>
      <c r="J254" s="234"/>
      <c r="K254" s="234"/>
      <c r="L254" s="234"/>
      <c r="M254" s="234"/>
    </row>
    <row r="255">
      <c r="I255" s="234"/>
      <c r="J255" s="234"/>
      <c r="K255" s="234"/>
      <c r="L255" s="234"/>
      <c r="M255" s="234"/>
    </row>
    <row r="256">
      <c r="I256" s="234"/>
      <c r="J256" s="234"/>
      <c r="K256" s="234"/>
      <c r="L256" s="234"/>
      <c r="M256" s="234"/>
    </row>
    <row r="257">
      <c r="I257" s="234"/>
      <c r="J257" s="234"/>
      <c r="K257" s="234"/>
      <c r="L257" s="234"/>
      <c r="M257" s="234"/>
    </row>
    <row r="258">
      <c r="I258" s="234"/>
      <c r="J258" s="234"/>
      <c r="K258" s="234"/>
      <c r="L258" s="234"/>
      <c r="M258" s="234"/>
    </row>
    <row r="259">
      <c r="I259" s="234"/>
      <c r="J259" s="234"/>
      <c r="K259" s="234"/>
      <c r="L259" s="234"/>
      <c r="M259" s="234"/>
    </row>
    <row r="260">
      <c r="I260" s="234"/>
      <c r="J260" s="234"/>
      <c r="K260" s="234"/>
      <c r="L260" s="234"/>
      <c r="M260" s="234"/>
    </row>
    <row r="261">
      <c r="I261" s="234"/>
      <c r="J261" s="234"/>
      <c r="K261" s="234"/>
      <c r="L261" s="234"/>
      <c r="M261" s="234"/>
    </row>
    <row r="262">
      <c r="I262" s="234"/>
      <c r="J262" s="234"/>
      <c r="K262" s="234"/>
      <c r="L262" s="234"/>
      <c r="M262" s="234"/>
    </row>
    <row r="263">
      <c r="I263" s="234"/>
      <c r="J263" s="234"/>
      <c r="K263" s="234"/>
      <c r="L263" s="234"/>
      <c r="M263" s="234"/>
    </row>
    <row r="264">
      <c r="I264" s="234"/>
      <c r="J264" s="234"/>
      <c r="K264" s="234"/>
      <c r="L264" s="234"/>
      <c r="M264" s="234"/>
    </row>
    <row r="265">
      <c r="I265" s="234"/>
      <c r="J265" s="234"/>
      <c r="K265" s="234"/>
      <c r="L265" s="234"/>
      <c r="M265" s="234"/>
    </row>
    <row r="266">
      <c r="I266" s="234"/>
      <c r="J266" s="234"/>
      <c r="K266" s="234"/>
      <c r="L266" s="234"/>
      <c r="M266" s="234"/>
    </row>
    <row r="267">
      <c r="I267" s="234"/>
      <c r="J267" s="234"/>
      <c r="K267" s="234"/>
      <c r="L267" s="234"/>
      <c r="M267" s="234"/>
    </row>
    <row r="268">
      <c r="I268" s="234"/>
      <c r="J268" s="234"/>
      <c r="K268" s="234"/>
      <c r="L268" s="234"/>
      <c r="M268" s="234"/>
    </row>
    <row r="269">
      <c r="I269" s="234"/>
      <c r="J269" s="234"/>
      <c r="K269" s="234"/>
      <c r="L269" s="234"/>
      <c r="M269" s="234"/>
    </row>
    <row r="270">
      <c r="I270" s="234"/>
      <c r="J270" s="234"/>
      <c r="K270" s="234"/>
      <c r="L270" s="234"/>
      <c r="M270" s="234"/>
    </row>
    <row r="271">
      <c r="I271" s="234"/>
      <c r="J271" s="234"/>
      <c r="K271" s="234"/>
      <c r="L271" s="234"/>
      <c r="M271" s="234"/>
    </row>
    <row r="272">
      <c r="I272" s="234"/>
      <c r="J272" s="234"/>
      <c r="K272" s="234"/>
      <c r="L272" s="234"/>
      <c r="M272" s="234"/>
    </row>
    <row r="273">
      <c r="I273" s="234"/>
      <c r="J273" s="234"/>
      <c r="K273" s="234"/>
      <c r="L273" s="234"/>
      <c r="M273" s="234"/>
    </row>
    <row r="274">
      <c r="I274" s="234"/>
      <c r="J274" s="234"/>
      <c r="K274" s="234"/>
      <c r="L274" s="234"/>
      <c r="M274" s="234"/>
    </row>
    <row r="275">
      <c r="I275" s="234"/>
      <c r="J275" s="234"/>
      <c r="K275" s="234"/>
      <c r="L275" s="234"/>
      <c r="M275" s="234"/>
    </row>
    <row r="276">
      <c r="I276" s="234"/>
      <c r="J276" s="234"/>
      <c r="K276" s="234"/>
      <c r="L276" s="234"/>
      <c r="M276" s="234"/>
    </row>
    <row r="277">
      <c r="I277" s="234"/>
      <c r="J277" s="234"/>
      <c r="K277" s="234"/>
      <c r="L277" s="234"/>
      <c r="M277" s="234"/>
    </row>
    <row r="278">
      <c r="I278" s="234"/>
      <c r="J278" s="234"/>
      <c r="K278" s="234"/>
      <c r="L278" s="234"/>
      <c r="M278" s="234"/>
    </row>
    <row r="279">
      <c r="I279" s="234"/>
      <c r="J279" s="234"/>
      <c r="K279" s="234"/>
      <c r="L279" s="234"/>
      <c r="M279" s="234"/>
    </row>
    <row r="280">
      <c r="I280" s="234"/>
      <c r="J280" s="234"/>
      <c r="K280" s="234"/>
      <c r="L280" s="234"/>
      <c r="M280" s="234"/>
    </row>
    <row r="281">
      <c r="I281" s="234"/>
      <c r="J281" s="234"/>
      <c r="K281" s="234"/>
      <c r="L281" s="234"/>
      <c r="M281" s="234"/>
    </row>
    <row r="282">
      <c r="I282" s="234"/>
      <c r="J282" s="234"/>
      <c r="K282" s="234"/>
      <c r="L282" s="234"/>
      <c r="M282" s="234"/>
    </row>
    <row r="283">
      <c r="I283" s="234"/>
      <c r="J283" s="234"/>
      <c r="K283" s="234"/>
      <c r="L283" s="234"/>
      <c r="M283" s="234"/>
    </row>
    <row r="284">
      <c r="I284" s="234"/>
      <c r="J284" s="234"/>
      <c r="K284" s="234"/>
      <c r="L284" s="234"/>
      <c r="M284" s="234"/>
    </row>
    <row r="285">
      <c r="I285" s="234"/>
      <c r="J285" s="234"/>
      <c r="K285" s="234"/>
      <c r="L285" s="234"/>
      <c r="M285" s="234"/>
    </row>
    <row r="286">
      <c r="I286" s="234"/>
      <c r="J286" s="234"/>
      <c r="K286" s="234"/>
      <c r="L286" s="234"/>
      <c r="M286" s="234"/>
    </row>
    <row r="287">
      <c r="I287" s="234"/>
      <c r="J287" s="234"/>
      <c r="K287" s="234"/>
      <c r="L287" s="234"/>
      <c r="M287" s="234"/>
    </row>
    <row r="288">
      <c r="I288" s="234"/>
      <c r="J288" s="234"/>
      <c r="K288" s="234"/>
      <c r="L288" s="234"/>
      <c r="M288" s="234"/>
    </row>
    <row r="289">
      <c r="I289" s="234"/>
      <c r="J289" s="234"/>
      <c r="K289" s="234"/>
      <c r="L289" s="234"/>
      <c r="M289" s="234"/>
    </row>
    <row r="290">
      <c r="I290" s="234"/>
      <c r="J290" s="234"/>
      <c r="K290" s="234"/>
      <c r="L290" s="234"/>
      <c r="M290" s="234"/>
    </row>
    <row r="291">
      <c r="I291" s="234"/>
      <c r="J291" s="234"/>
      <c r="K291" s="234"/>
      <c r="L291" s="234"/>
      <c r="M291" s="234"/>
    </row>
    <row r="292">
      <c r="I292" s="234"/>
      <c r="J292" s="234"/>
      <c r="K292" s="234"/>
      <c r="L292" s="234"/>
      <c r="M292" s="234"/>
    </row>
    <row r="293">
      <c r="I293" s="234"/>
      <c r="J293" s="234"/>
      <c r="K293" s="234"/>
      <c r="L293" s="234"/>
      <c r="M293" s="234"/>
    </row>
    <row r="294">
      <c r="I294" s="234"/>
      <c r="J294" s="234"/>
      <c r="K294" s="234"/>
      <c r="L294" s="234"/>
      <c r="M294" s="234"/>
    </row>
    <row r="295">
      <c r="I295" s="234"/>
      <c r="J295" s="234"/>
      <c r="K295" s="234"/>
      <c r="L295" s="234"/>
      <c r="M295" s="234"/>
    </row>
    <row r="296">
      <c r="I296" s="234"/>
      <c r="J296" s="234"/>
      <c r="K296" s="234"/>
      <c r="L296" s="234"/>
      <c r="M296" s="234"/>
    </row>
    <row r="297">
      <c r="I297" s="234"/>
      <c r="J297" s="234"/>
      <c r="K297" s="234"/>
      <c r="L297" s="234"/>
      <c r="M297" s="234"/>
    </row>
    <row r="298">
      <c r="I298" s="234"/>
      <c r="J298" s="234"/>
      <c r="K298" s="234"/>
      <c r="L298" s="234"/>
      <c r="M298" s="234"/>
    </row>
    <row r="299">
      <c r="I299" s="234"/>
      <c r="J299" s="234"/>
      <c r="K299" s="234"/>
      <c r="L299" s="234"/>
      <c r="M299" s="234"/>
    </row>
    <row r="300">
      <c r="I300" s="234"/>
      <c r="J300" s="234"/>
      <c r="K300" s="234"/>
      <c r="L300" s="234"/>
      <c r="M300" s="234"/>
    </row>
    <row r="301">
      <c r="I301" s="234"/>
      <c r="J301" s="234"/>
      <c r="K301" s="234"/>
      <c r="L301" s="234"/>
      <c r="M301" s="234"/>
    </row>
    <row r="302">
      <c r="I302" s="234"/>
      <c r="J302" s="234"/>
      <c r="K302" s="234"/>
      <c r="L302" s="234"/>
      <c r="M302" s="234"/>
    </row>
    <row r="303">
      <c r="I303" s="234"/>
      <c r="J303" s="234"/>
      <c r="K303" s="234"/>
      <c r="L303" s="234"/>
      <c r="M303" s="234"/>
    </row>
    <row r="304">
      <c r="I304" s="234"/>
      <c r="J304" s="234"/>
      <c r="K304" s="234"/>
      <c r="L304" s="234"/>
      <c r="M304" s="234"/>
    </row>
    <row r="305">
      <c r="I305" s="234"/>
      <c r="J305" s="234"/>
      <c r="K305" s="234"/>
      <c r="L305" s="234"/>
      <c r="M305" s="234"/>
    </row>
    <row r="306">
      <c r="I306" s="234"/>
      <c r="J306" s="234"/>
      <c r="K306" s="234"/>
      <c r="L306" s="234"/>
      <c r="M306" s="234"/>
    </row>
    <row r="307">
      <c r="I307" s="234"/>
      <c r="J307" s="234"/>
      <c r="K307" s="234"/>
      <c r="L307" s="234"/>
      <c r="M307" s="234"/>
    </row>
    <row r="308">
      <c r="I308" s="234"/>
      <c r="J308" s="234"/>
      <c r="K308" s="234"/>
      <c r="L308" s="234"/>
      <c r="M308" s="234"/>
    </row>
    <row r="309">
      <c r="I309" s="234"/>
      <c r="J309" s="234"/>
      <c r="K309" s="234"/>
      <c r="L309" s="234"/>
      <c r="M309" s="234"/>
    </row>
    <row r="310">
      <c r="I310" s="234"/>
      <c r="J310" s="234"/>
      <c r="K310" s="234"/>
      <c r="L310" s="234"/>
      <c r="M310" s="234"/>
    </row>
    <row r="311">
      <c r="I311" s="234"/>
      <c r="J311" s="234"/>
      <c r="K311" s="234"/>
      <c r="L311" s="234"/>
      <c r="M311" s="234"/>
    </row>
    <row r="312">
      <c r="I312" s="234"/>
      <c r="J312" s="234"/>
      <c r="K312" s="234"/>
      <c r="L312" s="234"/>
      <c r="M312" s="234"/>
    </row>
    <row r="313">
      <c r="I313" s="234"/>
      <c r="J313" s="234"/>
      <c r="K313" s="234"/>
      <c r="L313" s="234"/>
      <c r="M313" s="234"/>
    </row>
    <row r="314">
      <c r="I314" s="234"/>
      <c r="J314" s="234"/>
      <c r="K314" s="234"/>
      <c r="L314" s="234"/>
      <c r="M314" s="234"/>
    </row>
    <row r="315">
      <c r="I315" s="234"/>
      <c r="J315" s="234"/>
      <c r="K315" s="234"/>
      <c r="L315" s="234"/>
      <c r="M315" s="234"/>
    </row>
    <row r="316">
      <c r="I316" s="234"/>
      <c r="J316" s="234"/>
      <c r="K316" s="234"/>
      <c r="L316" s="234"/>
      <c r="M316" s="234"/>
    </row>
    <row r="317">
      <c r="I317" s="234"/>
      <c r="J317" s="234"/>
      <c r="K317" s="234"/>
      <c r="L317" s="234"/>
      <c r="M317" s="234"/>
    </row>
    <row r="318">
      <c r="I318" s="234"/>
      <c r="J318" s="234"/>
      <c r="K318" s="234"/>
      <c r="L318" s="234"/>
      <c r="M318" s="234"/>
    </row>
    <row r="319">
      <c r="I319" s="234"/>
      <c r="J319" s="234"/>
      <c r="K319" s="234"/>
      <c r="L319" s="234"/>
      <c r="M319" s="234"/>
    </row>
    <row r="320">
      <c r="I320" s="234"/>
      <c r="J320" s="234"/>
      <c r="K320" s="234"/>
      <c r="L320" s="234"/>
      <c r="M320" s="234"/>
    </row>
    <row r="321">
      <c r="I321" s="234"/>
      <c r="J321" s="234"/>
      <c r="K321" s="234"/>
      <c r="L321" s="234"/>
      <c r="M321" s="234"/>
    </row>
    <row r="322">
      <c r="I322" s="234"/>
      <c r="J322" s="234"/>
      <c r="K322" s="234"/>
      <c r="L322" s="234"/>
      <c r="M322" s="234"/>
    </row>
    <row r="323">
      <c r="I323" s="234"/>
      <c r="J323" s="234"/>
      <c r="K323" s="234"/>
      <c r="L323" s="234"/>
      <c r="M323" s="234"/>
    </row>
    <row r="324">
      <c r="I324" s="234"/>
      <c r="J324" s="234"/>
      <c r="K324" s="234"/>
      <c r="L324" s="234"/>
      <c r="M324" s="234"/>
    </row>
    <row r="325">
      <c r="I325" s="234"/>
      <c r="J325" s="234"/>
      <c r="K325" s="234"/>
      <c r="L325" s="234"/>
      <c r="M325" s="234"/>
    </row>
    <row r="326">
      <c r="I326" s="234"/>
      <c r="J326" s="234"/>
      <c r="K326" s="234"/>
      <c r="L326" s="234"/>
      <c r="M326" s="234"/>
    </row>
    <row r="327">
      <c r="I327" s="234"/>
      <c r="J327" s="234"/>
      <c r="K327" s="234"/>
      <c r="L327" s="234"/>
      <c r="M327" s="234"/>
    </row>
    <row r="328">
      <c r="I328" s="234"/>
      <c r="J328" s="234"/>
      <c r="K328" s="234"/>
      <c r="L328" s="234"/>
      <c r="M328" s="234"/>
    </row>
    <row r="329">
      <c r="I329" s="234"/>
      <c r="J329" s="234"/>
      <c r="K329" s="234"/>
      <c r="L329" s="234"/>
      <c r="M329" s="234"/>
    </row>
    <row r="330">
      <c r="I330" s="234"/>
      <c r="J330" s="234"/>
      <c r="K330" s="234"/>
      <c r="L330" s="234"/>
      <c r="M330" s="234"/>
    </row>
    <row r="331">
      <c r="I331" s="234"/>
      <c r="J331" s="234"/>
      <c r="K331" s="234"/>
      <c r="L331" s="234"/>
      <c r="M331" s="234"/>
    </row>
    <row r="332">
      <c r="I332" s="234"/>
      <c r="J332" s="234"/>
      <c r="K332" s="234"/>
      <c r="L332" s="234"/>
      <c r="M332" s="234"/>
    </row>
    <row r="333">
      <c r="I333" s="234"/>
      <c r="J333" s="234"/>
      <c r="K333" s="234"/>
      <c r="L333" s="234"/>
      <c r="M333" s="234"/>
    </row>
    <row r="334">
      <c r="I334" s="234"/>
      <c r="J334" s="234"/>
      <c r="K334" s="234"/>
      <c r="L334" s="234"/>
      <c r="M334" s="234"/>
    </row>
    <row r="335">
      <c r="I335" s="234"/>
      <c r="J335" s="234"/>
      <c r="K335" s="234"/>
      <c r="L335" s="234"/>
      <c r="M335" s="234"/>
    </row>
    <row r="336">
      <c r="I336" s="234"/>
      <c r="J336" s="234"/>
      <c r="K336" s="234"/>
      <c r="L336" s="234"/>
      <c r="M336" s="234"/>
    </row>
    <row r="337">
      <c r="I337" s="234"/>
      <c r="J337" s="234"/>
      <c r="K337" s="234"/>
      <c r="L337" s="234"/>
      <c r="M337" s="234"/>
    </row>
    <row r="338">
      <c r="I338" s="234"/>
      <c r="J338" s="234"/>
      <c r="K338" s="234"/>
      <c r="L338" s="234"/>
      <c r="M338" s="234"/>
    </row>
    <row r="339">
      <c r="I339" s="234"/>
      <c r="J339" s="234"/>
      <c r="K339" s="234"/>
      <c r="L339" s="234"/>
      <c r="M339" s="234"/>
    </row>
    <row r="340">
      <c r="I340" s="234"/>
      <c r="J340" s="234"/>
      <c r="K340" s="234"/>
      <c r="L340" s="234"/>
      <c r="M340" s="234"/>
    </row>
    <row r="341">
      <c r="I341" s="234"/>
      <c r="J341" s="234"/>
      <c r="K341" s="234"/>
      <c r="L341" s="234"/>
      <c r="M341" s="234"/>
    </row>
    <row r="342">
      <c r="I342" s="234"/>
      <c r="J342" s="234"/>
      <c r="K342" s="234"/>
      <c r="L342" s="234"/>
      <c r="M342" s="234"/>
    </row>
    <row r="343">
      <c r="I343" s="234"/>
      <c r="J343" s="234"/>
      <c r="K343" s="234"/>
      <c r="L343" s="234"/>
      <c r="M343" s="234"/>
    </row>
    <row r="344">
      <c r="I344" s="234"/>
      <c r="J344" s="234"/>
      <c r="K344" s="234"/>
      <c r="L344" s="234"/>
      <c r="M344" s="234"/>
    </row>
    <row r="345">
      <c r="I345" s="234"/>
      <c r="J345" s="234"/>
      <c r="K345" s="234"/>
      <c r="L345" s="234"/>
      <c r="M345" s="234"/>
    </row>
    <row r="346">
      <c r="I346" s="234"/>
      <c r="J346" s="234"/>
      <c r="K346" s="234"/>
      <c r="L346" s="234"/>
      <c r="M346" s="234"/>
    </row>
    <row r="347">
      <c r="I347" s="234"/>
      <c r="J347" s="234"/>
      <c r="K347" s="234"/>
      <c r="L347" s="234"/>
      <c r="M347" s="234"/>
    </row>
    <row r="348">
      <c r="I348" s="234"/>
      <c r="J348" s="234"/>
      <c r="K348" s="234"/>
      <c r="L348" s="234"/>
      <c r="M348" s="234"/>
    </row>
    <row r="349">
      <c r="I349" s="234"/>
      <c r="J349" s="234"/>
      <c r="K349" s="234"/>
      <c r="L349" s="234"/>
      <c r="M349" s="234"/>
    </row>
    <row r="350">
      <c r="I350" s="234"/>
      <c r="J350" s="234"/>
      <c r="K350" s="234"/>
      <c r="L350" s="234"/>
      <c r="M350" s="234"/>
    </row>
    <row r="351">
      <c r="I351" s="234"/>
      <c r="J351" s="234"/>
      <c r="K351" s="234"/>
      <c r="L351" s="234"/>
      <c r="M351" s="234"/>
    </row>
    <row r="352">
      <c r="I352" s="234"/>
      <c r="J352" s="234"/>
      <c r="K352" s="234"/>
      <c r="L352" s="234"/>
      <c r="M352" s="234"/>
    </row>
    <row r="353">
      <c r="I353" s="234"/>
      <c r="J353" s="234"/>
      <c r="K353" s="234"/>
      <c r="L353" s="234"/>
      <c r="M353" s="234"/>
    </row>
    <row r="354">
      <c r="I354" s="234"/>
      <c r="J354" s="234"/>
      <c r="K354" s="234"/>
      <c r="L354" s="234"/>
      <c r="M354" s="234"/>
    </row>
    <row r="355">
      <c r="I355" s="234"/>
      <c r="J355" s="234"/>
      <c r="K355" s="234"/>
      <c r="L355" s="234"/>
      <c r="M355" s="234"/>
    </row>
    <row r="356">
      <c r="I356" s="234"/>
      <c r="J356" s="234"/>
      <c r="K356" s="234"/>
      <c r="L356" s="234"/>
      <c r="M356" s="234"/>
    </row>
    <row r="357">
      <c r="I357" s="234"/>
      <c r="J357" s="234"/>
      <c r="K357" s="234"/>
      <c r="L357" s="234"/>
      <c r="M357" s="234"/>
    </row>
    <row r="358">
      <c r="I358" s="234"/>
      <c r="J358" s="234"/>
      <c r="K358" s="234"/>
      <c r="L358" s="234"/>
      <c r="M358" s="234"/>
    </row>
    <row r="359">
      <c r="I359" s="234"/>
      <c r="J359" s="234"/>
      <c r="K359" s="234"/>
      <c r="L359" s="234"/>
      <c r="M359" s="234"/>
    </row>
    <row r="360">
      <c r="I360" s="234"/>
      <c r="J360" s="234"/>
      <c r="K360" s="234"/>
      <c r="L360" s="234"/>
      <c r="M360" s="234"/>
    </row>
    <row r="361">
      <c r="I361" s="234"/>
      <c r="J361" s="234"/>
      <c r="K361" s="234"/>
      <c r="L361" s="234"/>
      <c r="M361" s="234"/>
    </row>
    <row r="362">
      <c r="I362" s="234"/>
      <c r="J362" s="234"/>
      <c r="K362" s="234"/>
      <c r="L362" s="234"/>
      <c r="M362" s="234"/>
    </row>
    <row r="363">
      <c r="I363" s="234"/>
      <c r="J363" s="234"/>
      <c r="K363" s="234"/>
      <c r="L363" s="234"/>
      <c r="M363" s="234"/>
    </row>
    <row r="364">
      <c r="I364" s="234"/>
      <c r="J364" s="234"/>
      <c r="K364" s="234"/>
      <c r="L364" s="234"/>
      <c r="M364" s="234"/>
    </row>
    <row r="365">
      <c r="I365" s="234"/>
      <c r="J365" s="234"/>
      <c r="K365" s="234"/>
      <c r="L365" s="234"/>
      <c r="M365" s="234"/>
    </row>
    <row r="366">
      <c r="I366" s="234"/>
      <c r="J366" s="234"/>
      <c r="K366" s="234"/>
      <c r="L366" s="234"/>
      <c r="M366" s="234"/>
    </row>
    <row r="367">
      <c r="I367" s="234"/>
      <c r="J367" s="234"/>
      <c r="K367" s="234"/>
      <c r="L367" s="234"/>
      <c r="M367" s="234"/>
    </row>
    <row r="368">
      <c r="I368" s="234"/>
      <c r="J368" s="234"/>
      <c r="K368" s="234"/>
      <c r="L368" s="234"/>
      <c r="M368" s="234"/>
    </row>
    <row r="369">
      <c r="I369" s="234"/>
      <c r="J369" s="234"/>
      <c r="K369" s="234"/>
      <c r="L369" s="234"/>
      <c r="M369" s="234"/>
    </row>
    <row r="370">
      <c r="I370" s="234"/>
      <c r="J370" s="234"/>
      <c r="K370" s="234"/>
      <c r="L370" s="234"/>
      <c r="M370" s="234"/>
    </row>
    <row r="371">
      <c r="I371" s="234"/>
      <c r="J371" s="234"/>
      <c r="K371" s="234"/>
      <c r="L371" s="234"/>
      <c r="M371" s="234"/>
    </row>
    <row r="372">
      <c r="I372" s="234"/>
      <c r="J372" s="234"/>
      <c r="K372" s="234"/>
      <c r="L372" s="234"/>
      <c r="M372" s="234"/>
    </row>
    <row r="373">
      <c r="I373" s="234"/>
      <c r="J373" s="234"/>
      <c r="K373" s="234"/>
      <c r="L373" s="234"/>
      <c r="M373" s="234"/>
    </row>
    <row r="374">
      <c r="I374" s="234"/>
      <c r="J374" s="234"/>
      <c r="K374" s="234"/>
      <c r="L374" s="234"/>
      <c r="M374" s="234"/>
    </row>
    <row r="375">
      <c r="I375" s="234"/>
      <c r="J375" s="234"/>
      <c r="K375" s="234"/>
      <c r="L375" s="234"/>
      <c r="M375" s="234"/>
    </row>
    <row r="376">
      <c r="I376" s="234"/>
      <c r="J376" s="234"/>
      <c r="K376" s="234"/>
      <c r="L376" s="234"/>
      <c r="M376" s="234"/>
    </row>
    <row r="377">
      <c r="I377" s="234"/>
      <c r="J377" s="234"/>
      <c r="K377" s="234"/>
      <c r="L377" s="234"/>
      <c r="M377" s="234"/>
    </row>
    <row r="378">
      <c r="I378" s="234"/>
      <c r="J378" s="234"/>
      <c r="K378" s="234"/>
      <c r="L378" s="234"/>
      <c r="M378" s="234"/>
    </row>
    <row r="379">
      <c r="I379" s="234"/>
      <c r="J379" s="234"/>
      <c r="K379" s="234"/>
      <c r="L379" s="234"/>
      <c r="M379" s="234"/>
    </row>
    <row r="380">
      <c r="I380" s="234"/>
      <c r="J380" s="234"/>
      <c r="K380" s="234"/>
      <c r="L380" s="234"/>
      <c r="M380" s="234"/>
    </row>
    <row r="381">
      <c r="I381" s="234"/>
      <c r="J381" s="234"/>
      <c r="K381" s="234"/>
      <c r="L381" s="234"/>
      <c r="M381" s="234"/>
    </row>
    <row r="382">
      <c r="I382" s="234"/>
      <c r="J382" s="234"/>
      <c r="K382" s="234"/>
      <c r="L382" s="234"/>
      <c r="M382" s="234"/>
    </row>
    <row r="383">
      <c r="I383" s="234"/>
      <c r="J383" s="234"/>
      <c r="K383" s="234"/>
      <c r="L383" s="234"/>
      <c r="M383" s="234"/>
    </row>
    <row r="384">
      <c r="I384" s="234"/>
      <c r="J384" s="234"/>
      <c r="K384" s="234"/>
      <c r="L384" s="234"/>
      <c r="M384" s="234"/>
    </row>
    <row r="385">
      <c r="I385" s="234"/>
      <c r="J385" s="234"/>
      <c r="K385" s="234"/>
      <c r="L385" s="234"/>
      <c r="M385" s="234"/>
    </row>
    <row r="386">
      <c r="I386" s="234"/>
      <c r="J386" s="234"/>
      <c r="K386" s="234"/>
      <c r="L386" s="234"/>
      <c r="M386" s="234"/>
    </row>
    <row r="387">
      <c r="I387" s="234"/>
      <c r="J387" s="234"/>
      <c r="K387" s="234"/>
      <c r="L387" s="234"/>
      <c r="M387" s="234"/>
    </row>
    <row r="388">
      <c r="I388" s="234"/>
      <c r="J388" s="234"/>
      <c r="K388" s="234"/>
      <c r="L388" s="234"/>
      <c r="M388" s="234"/>
    </row>
    <row r="389">
      <c r="I389" s="234"/>
      <c r="J389" s="234"/>
      <c r="K389" s="234"/>
      <c r="L389" s="234"/>
      <c r="M389" s="234"/>
    </row>
    <row r="390">
      <c r="I390" s="234"/>
      <c r="J390" s="234"/>
      <c r="K390" s="234"/>
      <c r="L390" s="234"/>
      <c r="M390" s="234"/>
    </row>
    <row r="391">
      <c r="I391" s="234"/>
      <c r="J391" s="234"/>
      <c r="K391" s="234"/>
      <c r="L391" s="234"/>
      <c r="M391" s="234"/>
    </row>
    <row r="392">
      <c r="I392" s="234"/>
      <c r="J392" s="234"/>
      <c r="K392" s="234"/>
      <c r="L392" s="234"/>
      <c r="M392" s="234"/>
    </row>
    <row r="393">
      <c r="I393" s="234"/>
      <c r="J393" s="234"/>
      <c r="K393" s="234"/>
      <c r="L393" s="234"/>
      <c r="M393" s="234"/>
    </row>
    <row r="394">
      <c r="I394" s="234"/>
      <c r="J394" s="234"/>
      <c r="K394" s="234"/>
      <c r="L394" s="234"/>
      <c r="M394" s="234"/>
    </row>
    <row r="395">
      <c r="I395" s="234"/>
      <c r="J395" s="234"/>
      <c r="K395" s="234"/>
      <c r="L395" s="234"/>
      <c r="M395" s="234"/>
    </row>
    <row r="396">
      <c r="I396" s="234"/>
      <c r="J396" s="234"/>
      <c r="K396" s="234"/>
      <c r="L396" s="234"/>
      <c r="M396" s="234"/>
    </row>
    <row r="397">
      <c r="I397" s="234"/>
      <c r="J397" s="234"/>
      <c r="K397" s="234"/>
      <c r="L397" s="234"/>
      <c r="M397" s="234"/>
    </row>
    <row r="398">
      <c r="I398" s="234"/>
      <c r="J398" s="234"/>
      <c r="K398" s="234"/>
      <c r="L398" s="234"/>
      <c r="M398" s="234"/>
    </row>
    <row r="399">
      <c r="I399" s="234"/>
      <c r="J399" s="234"/>
      <c r="K399" s="234"/>
      <c r="L399" s="234"/>
      <c r="M399" s="234"/>
    </row>
    <row r="400">
      <c r="I400" s="234"/>
      <c r="J400" s="234"/>
      <c r="K400" s="234"/>
      <c r="L400" s="234"/>
      <c r="M400" s="234"/>
    </row>
    <row r="401">
      <c r="I401" s="234"/>
      <c r="J401" s="234"/>
      <c r="K401" s="234"/>
      <c r="L401" s="234"/>
      <c r="M401" s="234"/>
    </row>
    <row r="402">
      <c r="I402" s="234"/>
      <c r="J402" s="234"/>
      <c r="K402" s="234"/>
      <c r="L402" s="234"/>
      <c r="M402" s="234"/>
    </row>
    <row r="403">
      <c r="I403" s="234"/>
      <c r="J403" s="234"/>
      <c r="K403" s="234"/>
      <c r="L403" s="234"/>
      <c r="M403" s="234"/>
    </row>
    <row r="404">
      <c r="I404" s="234"/>
      <c r="J404" s="234"/>
      <c r="K404" s="234"/>
      <c r="L404" s="234"/>
      <c r="M404" s="234"/>
    </row>
    <row r="405">
      <c r="I405" s="234"/>
      <c r="J405" s="234"/>
      <c r="K405" s="234"/>
      <c r="L405" s="234"/>
      <c r="M405" s="234"/>
    </row>
    <row r="406">
      <c r="I406" s="234"/>
      <c r="J406" s="234"/>
      <c r="K406" s="234"/>
      <c r="L406" s="234"/>
      <c r="M406" s="234"/>
    </row>
    <row r="407">
      <c r="I407" s="234"/>
      <c r="J407" s="234"/>
      <c r="K407" s="234"/>
      <c r="L407" s="234"/>
      <c r="M407" s="234"/>
    </row>
    <row r="408">
      <c r="I408" s="234"/>
      <c r="J408" s="234"/>
      <c r="K408" s="234"/>
      <c r="L408" s="234"/>
      <c r="M408" s="234"/>
    </row>
    <row r="409">
      <c r="I409" s="234"/>
      <c r="J409" s="234"/>
      <c r="K409" s="234"/>
      <c r="L409" s="234"/>
      <c r="M409" s="234"/>
    </row>
    <row r="410">
      <c r="I410" s="234"/>
      <c r="J410" s="234"/>
      <c r="K410" s="234"/>
      <c r="L410" s="234"/>
      <c r="M410" s="234"/>
    </row>
    <row r="411">
      <c r="I411" s="234"/>
      <c r="J411" s="234"/>
      <c r="K411" s="234"/>
      <c r="L411" s="234"/>
      <c r="M411" s="234"/>
    </row>
    <row r="412">
      <c r="I412" s="234"/>
      <c r="J412" s="234"/>
      <c r="K412" s="234"/>
      <c r="L412" s="234"/>
      <c r="M412" s="234"/>
    </row>
    <row r="413">
      <c r="I413" s="234"/>
      <c r="J413" s="234"/>
      <c r="K413" s="234"/>
      <c r="L413" s="234"/>
      <c r="M413" s="234"/>
    </row>
    <row r="414">
      <c r="I414" s="234"/>
      <c r="J414" s="234"/>
      <c r="K414" s="234"/>
      <c r="L414" s="234"/>
      <c r="M414" s="234"/>
    </row>
    <row r="415">
      <c r="I415" s="234"/>
      <c r="J415" s="234"/>
      <c r="K415" s="234"/>
      <c r="L415" s="234"/>
      <c r="M415" s="234"/>
    </row>
    <row r="416">
      <c r="I416" s="234"/>
      <c r="J416" s="234"/>
      <c r="K416" s="234"/>
      <c r="L416" s="234"/>
      <c r="M416" s="234"/>
    </row>
    <row r="417">
      <c r="I417" s="234"/>
      <c r="J417" s="234"/>
      <c r="K417" s="234"/>
      <c r="L417" s="234"/>
      <c r="M417" s="234"/>
    </row>
    <row r="418">
      <c r="I418" s="234"/>
      <c r="J418" s="234"/>
      <c r="K418" s="234"/>
      <c r="L418" s="234"/>
      <c r="M418" s="234"/>
    </row>
    <row r="419">
      <c r="I419" s="234"/>
      <c r="J419" s="234"/>
      <c r="K419" s="234"/>
      <c r="L419" s="234"/>
      <c r="M419" s="234"/>
    </row>
    <row r="420">
      <c r="I420" s="234"/>
      <c r="J420" s="234"/>
      <c r="K420" s="234"/>
      <c r="L420" s="234"/>
      <c r="M420" s="234"/>
    </row>
    <row r="421">
      <c r="I421" s="234"/>
      <c r="J421" s="234"/>
      <c r="K421" s="234"/>
      <c r="L421" s="234"/>
      <c r="M421" s="234"/>
    </row>
    <row r="422">
      <c r="I422" s="234"/>
      <c r="J422" s="234"/>
      <c r="K422" s="234"/>
      <c r="L422" s="234"/>
      <c r="M422" s="234"/>
    </row>
    <row r="423">
      <c r="I423" s="234"/>
      <c r="J423" s="234"/>
      <c r="K423" s="234"/>
      <c r="L423" s="234"/>
      <c r="M423" s="234"/>
    </row>
    <row r="424">
      <c r="I424" s="234"/>
      <c r="J424" s="234"/>
      <c r="K424" s="234"/>
      <c r="L424" s="234"/>
      <c r="M424" s="234"/>
    </row>
    <row r="425">
      <c r="I425" s="234"/>
      <c r="J425" s="234"/>
      <c r="K425" s="234"/>
      <c r="L425" s="234"/>
      <c r="M425" s="234"/>
    </row>
    <row r="426">
      <c r="I426" s="234"/>
      <c r="J426" s="234"/>
      <c r="K426" s="234"/>
      <c r="L426" s="234"/>
      <c r="M426" s="234"/>
    </row>
    <row r="427">
      <c r="I427" s="234"/>
      <c r="J427" s="234"/>
      <c r="K427" s="234"/>
      <c r="L427" s="234"/>
      <c r="M427" s="234"/>
    </row>
    <row r="428">
      <c r="I428" s="234"/>
      <c r="J428" s="234"/>
      <c r="K428" s="234"/>
      <c r="L428" s="234"/>
      <c r="M428" s="234"/>
    </row>
    <row r="429">
      <c r="I429" s="234"/>
      <c r="J429" s="234"/>
      <c r="K429" s="234"/>
      <c r="L429" s="234"/>
      <c r="M429" s="234"/>
    </row>
    <row r="430">
      <c r="I430" s="234"/>
      <c r="J430" s="234"/>
      <c r="K430" s="234"/>
      <c r="L430" s="234"/>
      <c r="M430" s="234"/>
    </row>
    <row r="431">
      <c r="I431" s="234"/>
      <c r="J431" s="234"/>
      <c r="K431" s="234"/>
      <c r="L431" s="234"/>
      <c r="M431" s="234"/>
    </row>
    <row r="432">
      <c r="I432" s="234"/>
      <c r="J432" s="234"/>
      <c r="K432" s="234"/>
      <c r="L432" s="234"/>
      <c r="M432" s="234"/>
    </row>
    <row r="433">
      <c r="I433" s="234"/>
      <c r="J433" s="234"/>
      <c r="K433" s="234"/>
      <c r="L433" s="234"/>
      <c r="M433" s="234"/>
    </row>
    <row r="434">
      <c r="I434" s="234"/>
      <c r="J434" s="234"/>
      <c r="K434" s="234"/>
      <c r="L434" s="234"/>
      <c r="M434" s="234"/>
    </row>
    <row r="435">
      <c r="I435" s="234"/>
      <c r="J435" s="234"/>
      <c r="K435" s="234"/>
      <c r="L435" s="234"/>
      <c r="M435" s="234"/>
    </row>
    <row r="436">
      <c r="I436" s="234"/>
      <c r="J436" s="234"/>
      <c r="K436" s="234"/>
      <c r="L436" s="234"/>
      <c r="M436" s="234"/>
    </row>
    <row r="437">
      <c r="I437" s="234"/>
      <c r="J437" s="234"/>
      <c r="K437" s="234"/>
      <c r="L437" s="234"/>
      <c r="M437" s="234"/>
    </row>
    <row r="438">
      <c r="I438" s="234"/>
      <c r="J438" s="234"/>
      <c r="K438" s="234"/>
      <c r="L438" s="234"/>
      <c r="M438" s="234"/>
    </row>
    <row r="439">
      <c r="I439" s="234"/>
      <c r="J439" s="234"/>
      <c r="K439" s="234"/>
      <c r="L439" s="234"/>
      <c r="M439" s="234"/>
    </row>
    <row r="440">
      <c r="I440" s="234"/>
      <c r="J440" s="234"/>
      <c r="K440" s="234"/>
      <c r="L440" s="234"/>
      <c r="M440" s="234"/>
    </row>
    <row r="441">
      <c r="I441" s="234"/>
      <c r="J441" s="234"/>
      <c r="K441" s="234"/>
      <c r="L441" s="234"/>
      <c r="M441" s="234"/>
    </row>
    <row r="442">
      <c r="I442" s="234"/>
      <c r="J442" s="234"/>
      <c r="K442" s="234"/>
      <c r="L442" s="234"/>
      <c r="M442" s="234"/>
    </row>
    <row r="443">
      <c r="I443" s="234"/>
      <c r="J443" s="234"/>
      <c r="K443" s="234"/>
      <c r="L443" s="234"/>
      <c r="M443" s="234"/>
    </row>
    <row r="444">
      <c r="I444" s="234"/>
      <c r="J444" s="234"/>
      <c r="K444" s="234"/>
      <c r="L444" s="234"/>
      <c r="M444" s="234"/>
    </row>
    <row r="445">
      <c r="I445" s="234"/>
      <c r="J445" s="234"/>
      <c r="K445" s="234"/>
      <c r="L445" s="234"/>
      <c r="M445" s="234"/>
    </row>
    <row r="446">
      <c r="I446" s="234"/>
      <c r="J446" s="234"/>
      <c r="K446" s="234"/>
      <c r="L446" s="234"/>
      <c r="M446" s="234"/>
    </row>
    <row r="447">
      <c r="I447" s="234"/>
      <c r="J447" s="234"/>
      <c r="K447" s="234"/>
      <c r="L447" s="234"/>
      <c r="M447" s="234"/>
    </row>
    <row r="448">
      <c r="I448" s="234"/>
      <c r="J448" s="234"/>
      <c r="K448" s="234"/>
      <c r="L448" s="234"/>
      <c r="M448" s="234"/>
    </row>
    <row r="449">
      <c r="I449" s="234"/>
      <c r="J449" s="234"/>
      <c r="K449" s="234"/>
      <c r="L449" s="234"/>
      <c r="M449" s="234"/>
    </row>
    <row r="450">
      <c r="I450" s="234"/>
      <c r="J450" s="234"/>
      <c r="K450" s="234"/>
      <c r="L450" s="234"/>
      <c r="M450" s="234"/>
    </row>
    <row r="451">
      <c r="I451" s="234"/>
      <c r="J451" s="234"/>
      <c r="K451" s="234"/>
      <c r="L451" s="234"/>
      <c r="M451" s="234"/>
    </row>
    <row r="452">
      <c r="I452" s="234"/>
      <c r="J452" s="234"/>
      <c r="K452" s="234"/>
      <c r="L452" s="234"/>
      <c r="M452" s="234"/>
    </row>
    <row r="453">
      <c r="I453" s="234"/>
      <c r="J453" s="234"/>
      <c r="K453" s="234"/>
      <c r="L453" s="234"/>
      <c r="M453" s="234"/>
    </row>
    <row r="454">
      <c r="I454" s="234"/>
      <c r="J454" s="234"/>
      <c r="K454" s="234"/>
      <c r="L454" s="234"/>
      <c r="M454" s="234"/>
    </row>
    <row r="455">
      <c r="I455" s="234"/>
      <c r="J455" s="234"/>
      <c r="K455" s="234"/>
      <c r="L455" s="234"/>
      <c r="M455" s="234"/>
    </row>
    <row r="456">
      <c r="I456" s="234"/>
      <c r="J456" s="234"/>
      <c r="K456" s="234"/>
      <c r="L456" s="234"/>
      <c r="M456" s="234"/>
    </row>
    <row r="457">
      <c r="I457" s="234"/>
      <c r="J457" s="234"/>
      <c r="K457" s="234"/>
      <c r="L457" s="234"/>
      <c r="M457" s="234"/>
    </row>
    <row r="458">
      <c r="I458" s="234"/>
      <c r="J458" s="234"/>
      <c r="K458" s="234"/>
      <c r="L458" s="234"/>
      <c r="M458" s="234"/>
    </row>
    <row r="459">
      <c r="I459" s="234"/>
      <c r="J459" s="234"/>
      <c r="K459" s="234"/>
      <c r="L459" s="234"/>
      <c r="M459" s="234"/>
    </row>
    <row r="460">
      <c r="I460" s="234"/>
      <c r="J460" s="234"/>
      <c r="K460" s="234"/>
      <c r="L460" s="234"/>
      <c r="M460" s="234"/>
    </row>
    <row r="461">
      <c r="I461" s="234"/>
      <c r="J461" s="234"/>
      <c r="K461" s="234"/>
      <c r="L461" s="234"/>
      <c r="M461" s="234"/>
    </row>
    <row r="462">
      <c r="I462" s="234"/>
      <c r="J462" s="234"/>
      <c r="K462" s="234"/>
      <c r="L462" s="234"/>
      <c r="M462" s="234"/>
    </row>
    <row r="463">
      <c r="I463" s="234"/>
      <c r="J463" s="234"/>
      <c r="K463" s="234"/>
      <c r="L463" s="234"/>
      <c r="M463" s="234"/>
    </row>
    <row r="464">
      <c r="I464" s="234"/>
      <c r="J464" s="234"/>
      <c r="K464" s="234"/>
      <c r="L464" s="234"/>
      <c r="M464" s="234"/>
    </row>
    <row r="465">
      <c r="I465" s="234"/>
      <c r="J465" s="234"/>
      <c r="K465" s="234"/>
      <c r="L465" s="234"/>
      <c r="M465" s="234"/>
    </row>
    <row r="466">
      <c r="I466" s="234"/>
      <c r="J466" s="234"/>
      <c r="K466" s="234"/>
      <c r="L466" s="234"/>
      <c r="M466" s="234"/>
    </row>
    <row r="467">
      <c r="I467" s="234"/>
      <c r="J467" s="234"/>
      <c r="K467" s="234"/>
      <c r="L467" s="234"/>
      <c r="M467" s="234"/>
    </row>
    <row r="468">
      <c r="I468" s="234"/>
      <c r="J468" s="234"/>
      <c r="K468" s="234"/>
      <c r="L468" s="234"/>
      <c r="M468" s="234"/>
    </row>
    <row r="469">
      <c r="I469" s="234"/>
      <c r="J469" s="234"/>
      <c r="K469" s="234"/>
      <c r="L469" s="234"/>
      <c r="M469" s="234"/>
    </row>
    <row r="470">
      <c r="I470" s="234"/>
      <c r="J470" s="234"/>
      <c r="K470" s="234"/>
      <c r="L470" s="234"/>
      <c r="M470" s="234"/>
    </row>
    <row r="471">
      <c r="I471" s="234"/>
      <c r="J471" s="234"/>
      <c r="K471" s="234"/>
      <c r="L471" s="234"/>
      <c r="M471" s="234"/>
    </row>
    <row r="472">
      <c r="I472" s="234"/>
      <c r="J472" s="234"/>
      <c r="K472" s="234"/>
      <c r="L472" s="234"/>
      <c r="M472" s="234"/>
    </row>
    <row r="473">
      <c r="I473" s="234"/>
      <c r="J473" s="234"/>
      <c r="K473" s="234"/>
      <c r="L473" s="234"/>
      <c r="M473" s="234"/>
    </row>
    <row r="474">
      <c r="I474" s="234"/>
      <c r="J474" s="234"/>
      <c r="K474" s="234"/>
      <c r="L474" s="234"/>
      <c r="M474" s="234"/>
    </row>
    <row r="475">
      <c r="I475" s="234"/>
      <c r="J475" s="234"/>
      <c r="K475" s="234"/>
      <c r="L475" s="234"/>
      <c r="M475" s="234"/>
    </row>
    <row r="476">
      <c r="I476" s="234"/>
      <c r="J476" s="234"/>
      <c r="K476" s="234"/>
      <c r="L476" s="234"/>
      <c r="M476" s="234"/>
    </row>
    <row r="477">
      <c r="I477" s="234"/>
      <c r="J477" s="234"/>
      <c r="K477" s="234"/>
      <c r="L477" s="234"/>
      <c r="M477" s="234"/>
    </row>
    <row r="478">
      <c r="I478" s="234"/>
      <c r="J478" s="234"/>
      <c r="K478" s="234"/>
      <c r="L478" s="234"/>
      <c r="M478" s="234"/>
    </row>
    <row r="479">
      <c r="I479" s="234"/>
      <c r="J479" s="234"/>
      <c r="K479" s="234"/>
      <c r="L479" s="234"/>
      <c r="M479" s="234"/>
    </row>
    <row r="480">
      <c r="I480" s="234"/>
      <c r="J480" s="234"/>
      <c r="K480" s="234"/>
      <c r="L480" s="234"/>
      <c r="M480" s="234"/>
    </row>
    <row r="481">
      <c r="I481" s="234"/>
      <c r="J481" s="234"/>
      <c r="K481" s="234"/>
      <c r="L481" s="234"/>
      <c r="M481" s="234"/>
    </row>
    <row r="482">
      <c r="I482" s="234"/>
      <c r="J482" s="234"/>
      <c r="K482" s="234"/>
      <c r="L482" s="234"/>
      <c r="M482" s="234"/>
    </row>
    <row r="483">
      <c r="I483" s="234"/>
      <c r="J483" s="234"/>
      <c r="K483" s="234"/>
      <c r="L483" s="234"/>
      <c r="M483" s="234"/>
    </row>
    <row r="484">
      <c r="I484" s="234"/>
      <c r="J484" s="234"/>
      <c r="K484" s="234"/>
      <c r="L484" s="234"/>
      <c r="M484" s="234"/>
    </row>
    <row r="485">
      <c r="I485" s="234"/>
      <c r="J485" s="234"/>
      <c r="K485" s="234"/>
      <c r="L485" s="234"/>
      <c r="M485" s="234"/>
    </row>
    <row r="486">
      <c r="I486" s="234"/>
      <c r="J486" s="234"/>
      <c r="K486" s="234"/>
      <c r="L486" s="234"/>
      <c r="M486" s="234"/>
    </row>
    <row r="487">
      <c r="I487" s="234"/>
      <c r="J487" s="234"/>
      <c r="K487" s="234"/>
      <c r="L487" s="234"/>
      <c r="M487" s="234"/>
    </row>
    <row r="488">
      <c r="I488" s="234"/>
      <c r="J488" s="234"/>
      <c r="K488" s="234"/>
      <c r="L488" s="234"/>
      <c r="M488" s="234"/>
    </row>
    <row r="489">
      <c r="I489" s="234"/>
      <c r="J489" s="234"/>
      <c r="K489" s="234"/>
      <c r="L489" s="234"/>
      <c r="M489" s="234"/>
    </row>
    <row r="490">
      <c r="I490" s="234"/>
      <c r="J490" s="234"/>
      <c r="K490" s="234"/>
      <c r="L490" s="234"/>
      <c r="M490" s="234"/>
    </row>
    <row r="491">
      <c r="I491" s="234"/>
      <c r="J491" s="234"/>
      <c r="K491" s="234"/>
      <c r="L491" s="234"/>
      <c r="M491" s="234"/>
    </row>
    <row r="492">
      <c r="I492" s="234"/>
      <c r="J492" s="234"/>
      <c r="K492" s="234"/>
      <c r="L492" s="234"/>
      <c r="M492" s="234"/>
    </row>
    <row r="493">
      <c r="I493" s="234"/>
      <c r="J493" s="234"/>
      <c r="K493" s="234"/>
      <c r="L493" s="234"/>
      <c r="M493" s="234"/>
    </row>
    <row r="494">
      <c r="I494" s="234"/>
      <c r="J494" s="234"/>
      <c r="K494" s="234"/>
      <c r="L494" s="234"/>
      <c r="M494" s="234"/>
    </row>
    <row r="495">
      <c r="I495" s="234"/>
      <c r="J495" s="234"/>
      <c r="K495" s="234"/>
      <c r="L495" s="234"/>
      <c r="M495" s="234"/>
    </row>
    <row r="496">
      <c r="I496" s="234"/>
      <c r="J496" s="234"/>
      <c r="K496" s="234"/>
      <c r="L496" s="234"/>
      <c r="M496" s="234"/>
    </row>
    <row r="497">
      <c r="I497" s="234"/>
      <c r="J497" s="234"/>
      <c r="K497" s="234"/>
      <c r="L497" s="234"/>
      <c r="M497" s="234"/>
    </row>
    <row r="498">
      <c r="I498" s="234"/>
      <c r="J498" s="234"/>
      <c r="K498" s="234"/>
      <c r="L498" s="234"/>
      <c r="M498" s="234"/>
    </row>
    <row r="499">
      <c r="I499" s="234"/>
      <c r="J499" s="234"/>
      <c r="K499" s="234"/>
      <c r="L499" s="234"/>
      <c r="M499" s="234"/>
    </row>
    <row r="500">
      <c r="I500" s="234"/>
      <c r="J500" s="234"/>
      <c r="K500" s="234"/>
      <c r="L500" s="234"/>
      <c r="M500" s="234"/>
    </row>
    <row r="501">
      <c r="I501" s="234"/>
      <c r="J501" s="234"/>
      <c r="K501" s="234"/>
      <c r="L501" s="234"/>
      <c r="M501" s="234"/>
    </row>
    <row r="502">
      <c r="I502" s="234"/>
      <c r="J502" s="234"/>
      <c r="K502" s="234"/>
      <c r="L502" s="234"/>
      <c r="M502" s="234"/>
    </row>
    <row r="503">
      <c r="I503" s="234"/>
      <c r="J503" s="234"/>
      <c r="K503" s="234"/>
      <c r="L503" s="234"/>
      <c r="M503" s="234"/>
    </row>
    <row r="504">
      <c r="I504" s="234"/>
      <c r="J504" s="234"/>
      <c r="K504" s="234"/>
      <c r="L504" s="234"/>
      <c r="M504" s="234"/>
    </row>
    <row r="505">
      <c r="I505" s="234"/>
      <c r="J505" s="234"/>
      <c r="K505" s="234"/>
      <c r="L505" s="234"/>
      <c r="M505" s="234"/>
    </row>
    <row r="506">
      <c r="I506" s="234"/>
      <c r="J506" s="234"/>
      <c r="K506" s="234"/>
      <c r="L506" s="234"/>
      <c r="M506" s="234"/>
    </row>
    <row r="507">
      <c r="I507" s="234"/>
      <c r="J507" s="234"/>
      <c r="K507" s="234"/>
      <c r="L507" s="234"/>
      <c r="M507" s="234"/>
    </row>
    <row r="508">
      <c r="I508" s="234"/>
      <c r="J508" s="234"/>
      <c r="K508" s="234"/>
      <c r="L508" s="234"/>
      <c r="M508" s="234"/>
    </row>
    <row r="509">
      <c r="I509" s="234"/>
      <c r="J509" s="234"/>
      <c r="K509" s="234"/>
      <c r="L509" s="234"/>
      <c r="M509" s="234"/>
    </row>
    <row r="510">
      <c r="I510" s="234"/>
      <c r="J510" s="234"/>
      <c r="K510" s="234"/>
      <c r="L510" s="234"/>
      <c r="M510" s="234"/>
    </row>
    <row r="511">
      <c r="I511" s="234"/>
      <c r="J511" s="234"/>
      <c r="K511" s="234"/>
      <c r="L511" s="234"/>
      <c r="M511" s="234"/>
    </row>
    <row r="512">
      <c r="I512" s="234"/>
      <c r="J512" s="234"/>
      <c r="K512" s="234"/>
      <c r="L512" s="234"/>
      <c r="M512" s="234"/>
    </row>
    <row r="513">
      <c r="I513" s="234"/>
      <c r="J513" s="234"/>
      <c r="K513" s="234"/>
      <c r="L513" s="234"/>
      <c r="M513" s="234"/>
    </row>
    <row r="514">
      <c r="I514" s="234"/>
      <c r="J514" s="234"/>
      <c r="K514" s="234"/>
      <c r="L514" s="234"/>
      <c r="M514" s="234"/>
    </row>
    <row r="515">
      <c r="I515" s="234"/>
      <c r="J515" s="234"/>
      <c r="K515" s="234"/>
      <c r="L515" s="234"/>
      <c r="M515" s="234"/>
    </row>
    <row r="516">
      <c r="I516" s="234"/>
      <c r="J516" s="234"/>
      <c r="K516" s="234"/>
      <c r="L516" s="234"/>
      <c r="M516" s="234"/>
    </row>
    <row r="517">
      <c r="I517" s="234"/>
      <c r="J517" s="234"/>
      <c r="K517" s="234"/>
      <c r="L517" s="234"/>
      <c r="M517" s="234"/>
    </row>
    <row r="518">
      <c r="I518" s="234"/>
      <c r="J518" s="234"/>
      <c r="K518" s="234"/>
      <c r="L518" s="234"/>
      <c r="M518" s="234"/>
    </row>
    <row r="519">
      <c r="I519" s="234"/>
      <c r="J519" s="234"/>
      <c r="K519" s="234"/>
      <c r="L519" s="234"/>
      <c r="M519" s="234"/>
    </row>
    <row r="520">
      <c r="I520" s="234"/>
      <c r="J520" s="234"/>
      <c r="K520" s="234"/>
      <c r="L520" s="234"/>
      <c r="M520" s="234"/>
    </row>
    <row r="521">
      <c r="I521" s="234"/>
      <c r="J521" s="234"/>
      <c r="K521" s="234"/>
      <c r="L521" s="234"/>
      <c r="M521" s="234"/>
    </row>
    <row r="522">
      <c r="I522" s="234"/>
      <c r="J522" s="234"/>
      <c r="K522" s="234"/>
      <c r="L522" s="234"/>
      <c r="M522" s="234"/>
    </row>
    <row r="523">
      <c r="I523" s="234"/>
      <c r="J523" s="234"/>
      <c r="K523" s="234"/>
      <c r="L523" s="234"/>
      <c r="M523" s="234"/>
    </row>
    <row r="524">
      <c r="I524" s="234"/>
      <c r="J524" s="234"/>
      <c r="K524" s="234"/>
      <c r="L524" s="234"/>
      <c r="M524" s="234"/>
    </row>
    <row r="525">
      <c r="I525" s="234"/>
      <c r="J525" s="234"/>
      <c r="K525" s="234"/>
      <c r="L525" s="234"/>
      <c r="M525" s="234"/>
    </row>
    <row r="526">
      <c r="I526" s="234"/>
      <c r="J526" s="234"/>
      <c r="K526" s="234"/>
      <c r="L526" s="234"/>
      <c r="M526" s="234"/>
    </row>
    <row r="527">
      <c r="I527" s="234"/>
      <c r="J527" s="234"/>
      <c r="K527" s="234"/>
      <c r="L527" s="234"/>
      <c r="M527" s="234"/>
    </row>
    <row r="528">
      <c r="I528" s="234"/>
      <c r="J528" s="234"/>
      <c r="K528" s="234"/>
      <c r="L528" s="234"/>
      <c r="M528" s="234"/>
    </row>
    <row r="529">
      <c r="I529" s="234"/>
      <c r="J529" s="234"/>
      <c r="K529" s="234"/>
      <c r="L529" s="234"/>
      <c r="M529" s="234"/>
    </row>
    <row r="530">
      <c r="I530" s="234"/>
      <c r="J530" s="234"/>
      <c r="K530" s="234"/>
      <c r="L530" s="234"/>
      <c r="M530" s="234"/>
    </row>
    <row r="531">
      <c r="I531" s="234"/>
      <c r="J531" s="234"/>
      <c r="K531" s="234"/>
      <c r="L531" s="234"/>
      <c r="M531" s="234"/>
    </row>
    <row r="532">
      <c r="I532" s="234"/>
      <c r="J532" s="234"/>
      <c r="K532" s="234"/>
      <c r="L532" s="234"/>
      <c r="M532" s="234"/>
    </row>
    <row r="533">
      <c r="I533" s="234"/>
      <c r="J533" s="234"/>
      <c r="K533" s="234"/>
      <c r="L533" s="234"/>
      <c r="M533" s="234"/>
    </row>
    <row r="534">
      <c r="I534" s="234"/>
      <c r="J534" s="234"/>
      <c r="K534" s="234"/>
      <c r="L534" s="234"/>
      <c r="M534" s="234"/>
    </row>
    <row r="535">
      <c r="I535" s="234"/>
      <c r="J535" s="234"/>
      <c r="K535" s="234"/>
      <c r="L535" s="234"/>
      <c r="M535" s="234"/>
    </row>
    <row r="536">
      <c r="I536" s="234"/>
      <c r="J536" s="234"/>
      <c r="K536" s="234"/>
      <c r="L536" s="234"/>
      <c r="M536" s="234"/>
    </row>
    <row r="537">
      <c r="I537" s="234"/>
      <c r="J537" s="234"/>
      <c r="K537" s="234"/>
      <c r="L537" s="234"/>
      <c r="M537" s="234"/>
    </row>
    <row r="538">
      <c r="I538" s="234"/>
      <c r="J538" s="234"/>
      <c r="K538" s="234"/>
      <c r="L538" s="234"/>
      <c r="M538" s="234"/>
    </row>
    <row r="539">
      <c r="I539" s="234"/>
      <c r="J539" s="234"/>
      <c r="K539" s="234"/>
      <c r="L539" s="234"/>
      <c r="M539" s="234"/>
    </row>
    <row r="540">
      <c r="I540" s="234"/>
      <c r="J540" s="234"/>
      <c r="K540" s="234"/>
      <c r="L540" s="234"/>
      <c r="M540" s="234"/>
    </row>
    <row r="541">
      <c r="I541" s="234"/>
      <c r="J541" s="234"/>
      <c r="K541" s="234"/>
      <c r="L541" s="234"/>
      <c r="M541" s="234"/>
    </row>
    <row r="542">
      <c r="I542" s="234"/>
      <c r="J542" s="234"/>
      <c r="K542" s="234"/>
      <c r="L542" s="234"/>
      <c r="M542" s="234"/>
    </row>
    <row r="543">
      <c r="I543" s="234"/>
      <c r="J543" s="234"/>
      <c r="K543" s="234"/>
      <c r="L543" s="234"/>
      <c r="M543" s="234"/>
    </row>
    <row r="544">
      <c r="I544" s="234"/>
      <c r="J544" s="234"/>
      <c r="K544" s="234"/>
      <c r="L544" s="234"/>
      <c r="M544" s="234"/>
    </row>
    <row r="545">
      <c r="I545" s="234"/>
      <c r="J545" s="234"/>
      <c r="K545" s="234"/>
      <c r="L545" s="234"/>
      <c r="M545" s="234"/>
    </row>
    <row r="546">
      <c r="I546" s="234"/>
      <c r="J546" s="234"/>
      <c r="K546" s="234"/>
      <c r="L546" s="234"/>
      <c r="M546" s="234"/>
    </row>
    <row r="547">
      <c r="I547" s="234"/>
      <c r="J547" s="234"/>
      <c r="K547" s="234"/>
      <c r="L547" s="234"/>
      <c r="M547" s="234"/>
    </row>
    <row r="548">
      <c r="I548" s="234"/>
      <c r="J548" s="234"/>
      <c r="K548" s="234"/>
      <c r="L548" s="234"/>
      <c r="M548" s="234"/>
    </row>
    <row r="549">
      <c r="I549" s="234"/>
      <c r="J549" s="234"/>
      <c r="K549" s="234"/>
      <c r="L549" s="234"/>
      <c r="M549" s="234"/>
    </row>
    <row r="550">
      <c r="I550" s="234"/>
      <c r="J550" s="234"/>
      <c r="K550" s="234"/>
      <c r="L550" s="234"/>
      <c r="M550" s="234"/>
    </row>
    <row r="551">
      <c r="I551" s="234"/>
      <c r="J551" s="234"/>
      <c r="K551" s="234"/>
      <c r="L551" s="234"/>
      <c r="M551" s="234"/>
    </row>
    <row r="552">
      <c r="I552" s="234"/>
      <c r="J552" s="234"/>
      <c r="K552" s="234"/>
      <c r="L552" s="234"/>
      <c r="M552" s="234"/>
    </row>
    <row r="553">
      <c r="I553" s="234"/>
      <c r="J553" s="234"/>
      <c r="K553" s="234"/>
      <c r="L553" s="234"/>
      <c r="M553" s="234"/>
    </row>
    <row r="554">
      <c r="I554" s="234"/>
      <c r="J554" s="234"/>
      <c r="K554" s="234"/>
      <c r="L554" s="234"/>
      <c r="M554" s="234"/>
    </row>
    <row r="555">
      <c r="I555" s="234"/>
      <c r="J555" s="234"/>
      <c r="K555" s="234"/>
      <c r="L555" s="234"/>
      <c r="M555" s="234"/>
    </row>
    <row r="556">
      <c r="I556" s="234"/>
      <c r="J556" s="234"/>
      <c r="K556" s="234"/>
      <c r="L556" s="234"/>
      <c r="M556" s="234"/>
    </row>
    <row r="557">
      <c r="I557" s="234"/>
      <c r="J557" s="234"/>
      <c r="K557" s="234"/>
      <c r="L557" s="234"/>
      <c r="M557" s="234"/>
    </row>
    <row r="558">
      <c r="I558" s="234"/>
      <c r="J558" s="234"/>
      <c r="K558" s="234"/>
      <c r="L558" s="234"/>
      <c r="M558" s="234"/>
    </row>
    <row r="559">
      <c r="I559" s="234"/>
      <c r="J559" s="234"/>
      <c r="K559" s="234"/>
      <c r="L559" s="234"/>
      <c r="M559" s="234"/>
    </row>
    <row r="560">
      <c r="I560" s="234"/>
      <c r="J560" s="234"/>
      <c r="K560" s="234"/>
      <c r="L560" s="234"/>
      <c r="M560" s="234"/>
    </row>
    <row r="561">
      <c r="I561" s="234"/>
      <c r="J561" s="234"/>
      <c r="K561" s="234"/>
      <c r="L561" s="234"/>
      <c r="M561" s="234"/>
    </row>
    <row r="562">
      <c r="I562" s="234"/>
      <c r="J562" s="234"/>
      <c r="K562" s="234"/>
      <c r="L562" s="234"/>
      <c r="M562" s="234"/>
    </row>
    <row r="563">
      <c r="I563" s="234"/>
      <c r="J563" s="234"/>
      <c r="K563" s="234"/>
      <c r="L563" s="234"/>
      <c r="M563" s="234"/>
    </row>
    <row r="564">
      <c r="I564" s="234"/>
      <c r="J564" s="234"/>
      <c r="K564" s="234"/>
      <c r="L564" s="234"/>
      <c r="M564" s="234"/>
    </row>
    <row r="565">
      <c r="I565" s="234"/>
      <c r="J565" s="234"/>
      <c r="K565" s="234"/>
      <c r="L565" s="234"/>
      <c r="M565" s="234"/>
    </row>
    <row r="566">
      <c r="I566" s="234"/>
      <c r="J566" s="234"/>
      <c r="K566" s="234"/>
      <c r="L566" s="234"/>
      <c r="M566" s="234"/>
    </row>
    <row r="567">
      <c r="I567" s="234"/>
      <c r="J567" s="234"/>
      <c r="K567" s="234"/>
      <c r="L567" s="234"/>
      <c r="M567" s="234"/>
    </row>
    <row r="568">
      <c r="I568" s="234"/>
      <c r="J568" s="234"/>
      <c r="K568" s="234"/>
      <c r="L568" s="234"/>
      <c r="M568" s="234"/>
    </row>
    <row r="569">
      <c r="I569" s="234"/>
      <c r="J569" s="234"/>
      <c r="K569" s="234"/>
      <c r="L569" s="234"/>
      <c r="M569" s="234"/>
    </row>
    <row r="570">
      <c r="I570" s="234"/>
      <c r="J570" s="234"/>
      <c r="K570" s="234"/>
      <c r="L570" s="234"/>
      <c r="M570" s="234"/>
    </row>
    <row r="571">
      <c r="I571" s="234"/>
      <c r="J571" s="234"/>
      <c r="K571" s="234"/>
      <c r="L571" s="234"/>
      <c r="M571" s="234"/>
    </row>
    <row r="572">
      <c r="I572" s="234"/>
      <c r="J572" s="234"/>
      <c r="K572" s="234"/>
      <c r="L572" s="234"/>
      <c r="M572" s="234"/>
    </row>
    <row r="573">
      <c r="I573" s="234"/>
      <c r="J573" s="234"/>
      <c r="K573" s="234"/>
      <c r="L573" s="234"/>
      <c r="M573" s="234"/>
    </row>
    <row r="574">
      <c r="I574" s="234"/>
      <c r="J574" s="234"/>
      <c r="K574" s="234"/>
      <c r="L574" s="234"/>
      <c r="M574" s="234"/>
    </row>
    <row r="575">
      <c r="I575" s="234"/>
      <c r="J575" s="234"/>
      <c r="K575" s="234"/>
      <c r="L575" s="234"/>
      <c r="M575" s="234"/>
    </row>
    <row r="576">
      <c r="I576" s="234"/>
      <c r="J576" s="234"/>
      <c r="K576" s="234"/>
      <c r="L576" s="234"/>
      <c r="M576" s="234"/>
    </row>
    <row r="577">
      <c r="I577" s="234"/>
      <c r="J577" s="234"/>
      <c r="K577" s="234"/>
      <c r="L577" s="234"/>
      <c r="M577" s="234"/>
    </row>
    <row r="578">
      <c r="I578" s="234"/>
      <c r="J578" s="234"/>
      <c r="K578" s="234"/>
      <c r="L578" s="234"/>
      <c r="M578" s="234"/>
    </row>
    <row r="579">
      <c r="I579" s="234"/>
      <c r="J579" s="234"/>
      <c r="K579" s="234"/>
      <c r="L579" s="234"/>
      <c r="M579" s="234"/>
    </row>
    <row r="580">
      <c r="I580" s="234"/>
      <c r="J580" s="234"/>
      <c r="K580" s="234"/>
      <c r="L580" s="234"/>
      <c r="M580" s="234"/>
    </row>
    <row r="581">
      <c r="I581" s="234"/>
      <c r="J581" s="234"/>
      <c r="K581" s="234"/>
      <c r="L581" s="234"/>
      <c r="M581" s="234"/>
    </row>
    <row r="582">
      <c r="I582" s="234"/>
      <c r="J582" s="234"/>
      <c r="K582" s="234"/>
      <c r="L582" s="234"/>
      <c r="M582" s="234"/>
    </row>
    <row r="583">
      <c r="I583" s="234"/>
      <c r="J583" s="234"/>
      <c r="K583" s="234"/>
      <c r="L583" s="234"/>
      <c r="M583" s="234"/>
    </row>
    <row r="584">
      <c r="I584" s="234"/>
      <c r="J584" s="234"/>
      <c r="K584" s="234"/>
      <c r="L584" s="234"/>
      <c r="M584" s="234"/>
    </row>
    <row r="585">
      <c r="I585" s="234"/>
      <c r="J585" s="234"/>
      <c r="K585" s="234"/>
      <c r="L585" s="234"/>
      <c r="M585" s="234"/>
    </row>
    <row r="586">
      <c r="I586" s="234"/>
      <c r="J586" s="234"/>
      <c r="K586" s="234"/>
      <c r="L586" s="234"/>
      <c r="M586" s="234"/>
    </row>
    <row r="587">
      <c r="I587" s="234"/>
      <c r="J587" s="234"/>
      <c r="K587" s="234"/>
      <c r="L587" s="234"/>
      <c r="M587" s="234"/>
    </row>
    <row r="588">
      <c r="I588" s="234"/>
      <c r="J588" s="234"/>
      <c r="K588" s="234"/>
      <c r="L588" s="234"/>
      <c r="M588" s="234"/>
    </row>
    <row r="589">
      <c r="I589" s="234"/>
      <c r="J589" s="234"/>
      <c r="K589" s="234"/>
      <c r="L589" s="234"/>
      <c r="M589" s="234"/>
    </row>
    <row r="590">
      <c r="I590" s="234"/>
      <c r="J590" s="234"/>
      <c r="K590" s="234"/>
      <c r="L590" s="234"/>
      <c r="M590" s="234"/>
    </row>
    <row r="591">
      <c r="I591" s="234"/>
      <c r="J591" s="234"/>
      <c r="K591" s="234"/>
      <c r="L591" s="234"/>
      <c r="M591" s="234"/>
    </row>
    <row r="592">
      <c r="I592" s="234"/>
      <c r="J592" s="234"/>
      <c r="K592" s="234"/>
      <c r="L592" s="234"/>
      <c r="M592" s="234"/>
    </row>
    <row r="593">
      <c r="I593" s="234"/>
      <c r="J593" s="234"/>
      <c r="K593" s="234"/>
      <c r="L593" s="234"/>
      <c r="M593" s="234"/>
    </row>
    <row r="594">
      <c r="I594" s="234"/>
      <c r="J594" s="234"/>
      <c r="K594" s="234"/>
      <c r="L594" s="234"/>
      <c r="M594" s="234"/>
    </row>
    <row r="595">
      <c r="I595" s="234"/>
      <c r="J595" s="234"/>
      <c r="K595" s="234"/>
      <c r="L595" s="234"/>
      <c r="M595" s="234"/>
    </row>
    <row r="596">
      <c r="I596" s="234"/>
      <c r="J596" s="234"/>
      <c r="K596" s="234"/>
      <c r="L596" s="234"/>
      <c r="M596" s="234"/>
    </row>
    <row r="597">
      <c r="I597" s="234"/>
      <c r="J597" s="234"/>
      <c r="K597" s="234"/>
      <c r="L597" s="234"/>
      <c r="M597" s="234"/>
    </row>
    <row r="598">
      <c r="I598" s="234"/>
      <c r="J598" s="234"/>
      <c r="K598" s="234"/>
      <c r="L598" s="234"/>
      <c r="M598" s="234"/>
    </row>
    <row r="599">
      <c r="I599" s="234"/>
      <c r="J599" s="234"/>
      <c r="K599" s="234"/>
      <c r="L599" s="234"/>
      <c r="M599" s="234"/>
    </row>
    <row r="600">
      <c r="I600" s="234"/>
      <c r="J600" s="234"/>
      <c r="K600" s="234"/>
      <c r="L600" s="234"/>
      <c r="M600" s="234"/>
    </row>
    <row r="601">
      <c r="I601" s="234"/>
      <c r="J601" s="234"/>
      <c r="K601" s="234"/>
      <c r="L601" s="234"/>
      <c r="M601" s="234"/>
    </row>
    <row r="602">
      <c r="I602" s="234"/>
      <c r="J602" s="234"/>
      <c r="K602" s="234"/>
      <c r="L602" s="234"/>
      <c r="M602" s="234"/>
    </row>
    <row r="603">
      <c r="I603" s="234"/>
      <c r="J603" s="234"/>
      <c r="K603" s="234"/>
      <c r="L603" s="234"/>
      <c r="M603" s="234"/>
    </row>
    <row r="604">
      <c r="I604" s="234"/>
      <c r="J604" s="234"/>
      <c r="K604" s="234"/>
      <c r="L604" s="234"/>
      <c r="M604" s="234"/>
    </row>
    <row r="605">
      <c r="I605" s="234"/>
      <c r="J605" s="234"/>
      <c r="K605" s="234"/>
      <c r="L605" s="234"/>
      <c r="M605" s="234"/>
    </row>
    <row r="606">
      <c r="I606" s="234"/>
      <c r="J606" s="234"/>
      <c r="K606" s="234"/>
      <c r="L606" s="234"/>
      <c r="M606" s="234"/>
    </row>
    <row r="607">
      <c r="I607" s="234"/>
      <c r="J607" s="234"/>
      <c r="K607" s="234"/>
      <c r="L607" s="234"/>
      <c r="M607" s="234"/>
    </row>
    <row r="608">
      <c r="I608" s="234"/>
      <c r="J608" s="234"/>
      <c r="K608" s="234"/>
      <c r="L608" s="234"/>
      <c r="M608" s="234"/>
    </row>
    <row r="609">
      <c r="I609" s="234"/>
      <c r="J609" s="234"/>
      <c r="K609" s="234"/>
      <c r="L609" s="234"/>
      <c r="M609" s="234"/>
    </row>
    <row r="610">
      <c r="I610" s="234"/>
      <c r="J610" s="234"/>
      <c r="K610" s="234"/>
      <c r="L610" s="234"/>
      <c r="M610" s="234"/>
    </row>
    <row r="611">
      <c r="I611" s="234"/>
      <c r="J611" s="234"/>
      <c r="K611" s="234"/>
      <c r="L611" s="234"/>
      <c r="M611" s="234"/>
    </row>
    <row r="612">
      <c r="I612" s="234"/>
      <c r="J612" s="234"/>
      <c r="K612" s="234"/>
      <c r="L612" s="234"/>
      <c r="M612" s="234"/>
    </row>
    <row r="613">
      <c r="I613" s="234"/>
      <c r="J613" s="234"/>
      <c r="K613" s="234"/>
      <c r="L613" s="234"/>
      <c r="M613" s="234"/>
    </row>
    <row r="614">
      <c r="I614" s="234"/>
      <c r="J614" s="234"/>
      <c r="K614" s="234"/>
      <c r="L614" s="234"/>
      <c r="M614" s="234"/>
    </row>
    <row r="615">
      <c r="I615" s="234"/>
      <c r="J615" s="234"/>
      <c r="K615" s="234"/>
      <c r="L615" s="234"/>
      <c r="M615" s="234"/>
    </row>
    <row r="616">
      <c r="I616" s="234"/>
      <c r="J616" s="234"/>
      <c r="K616" s="234"/>
      <c r="L616" s="234"/>
      <c r="M616" s="234"/>
    </row>
    <row r="617">
      <c r="I617" s="234"/>
      <c r="J617" s="234"/>
      <c r="K617" s="234"/>
      <c r="L617" s="234"/>
      <c r="M617" s="234"/>
    </row>
    <row r="618">
      <c r="I618" s="234"/>
      <c r="J618" s="234"/>
      <c r="K618" s="234"/>
      <c r="L618" s="234"/>
      <c r="M618" s="234"/>
    </row>
    <row r="619">
      <c r="I619" s="234"/>
      <c r="J619" s="234"/>
      <c r="K619" s="234"/>
      <c r="L619" s="234"/>
      <c r="M619" s="234"/>
    </row>
    <row r="620">
      <c r="I620" s="234"/>
      <c r="J620" s="234"/>
      <c r="K620" s="234"/>
      <c r="L620" s="234"/>
      <c r="M620" s="234"/>
    </row>
    <row r="621">
      <c r="I621" s="234"/>
      <c r="J621" s="234"/>
      <c r="K621" s="234"/>
      <c r="L621" s="234"/>
      <c r="M621" s="234"/>
    </row>
    <row r="622">
      <c r="I622" s="234"/>
      <c r="J622" s="234"/>
      <c r="K622" s="234"/>
      <c r="L622" s="234"/>
      <c r="M622" s="234"/>
    </row>
    <row r="623">
      <c r="I623" s="234"/>
      <c r="J623" s="234"/>
      <c r="K623" s="234"/>
      <c r="L623" s="234"/>
      <c r="M623" s="234"/>
    </row>
    <row r="624">
      <c r="I624" s="234"/>
      <c r="J624" s="234"/>
      <c r="K624" s="234"/>
      <c r="L624" s="234"/>
      <c r="M624" s="234"/>
    </row>
    <row r="625">
      <c r="I625" s="234"/>
      <c r="J625" s="234"/>
      <c r="K625" s="234"/>
      <c r="L625" s="234"/>
      <c r="M625" s="234"/>
    </row>
    <row r="626">
      <c r="I626" s="234"/>
      <c r="J626" s="234"/>
      <c r="K626" s="234"/>
      <c r="L626" s="234"/>
      <c r="M626" s="234"/>
    </row>
    <row r="627">
      <c r="I627" s="234"/>
      <c r="J627" s="234"/>
      <c r="K627" s="234"/>
      <c r="L627" s="234"/>
      <c r="M627" s="234"/>
    </row>
    <row r="628">
      <c r="I628" s="234"/>
      <c r="J628" s="234"/>
      <c r="K628" s="234"/>
      <c r="L628" s="234"/>
      <c r="M628" s="234"/>
    </row>
    <row r="629">
      <c r="I629" s="234"/>
      <c r="J629" s="234"/>
      <c r="K629" s="234"/>
      <c r="L629" s="234"/>
      <c r="M629" s="234"/>
    </row>
    <row r="630">
      <c r="I630" s="234"/>
      <c r="J630" s="234"/>
      <c r="K630" s="234"/>
      <c r="L630" s="234"/>
      <c r="M630" s="234"/>
    </row>
    <row r="631">
      <c r="I631" s="234"/>
      <c r="J631" s="234"/>
      <c r="K631" s="234"/>
      <c r="L631" s="234"/>
      <c r="M631" s="234"/>
    </row>
    <row r="632">
      <c r="I632" s="234"/>
      <c r="J632" s="234"/>
      <c r="K632" s="234"/>
      <c r="L632" s="234"/>
      <c r="M632" s="234"/>
    </row>
    <row r="633">
      <c r="I633" s="234"/>
      <c r="J633" s="234"/>
      <c r="K633" s="234"/>
      <c r="L633" s="234"/>
      <c r="M633" s="234"/>
    </row>
    <row r="634">
      <c r="I634" s="234"/>
      <c r="J634" s="234"/>
      <c r="K634" s="234"/>
      <c r="L634" s="234"/>
      <c r="M634" s="234"/>
    </row>
    <row r="635">
      <c r="I635" s="234"/>
      <c r="J635" s="234"/>
      <c r="K635" s="234"/>
      <c r="L635" s="234"/>
      <c r="M635" s="234"/>
    </row>
    <row r="636">
      <c r="I636" s="234"/>
      <c r="J636" s="234"/>
      <c r="K636" s="234"/>
      <c r="L636" s="234"/>
      <c r="M636" s="234"/>
    </row>
    <row r="637">
      <c r="I637" s="234"/>
      <c r="J637" s="234"/>
      <c r="K637" s="234"/>
      <c r="L637" s="234"/>
      <c r="M637" s="234"/>
    </row>
    <row r="638">
      <c r="I638" s="234"/>
      <c r="J638" s="234"/>
      <c r="K638" s="234"/>
      <c r="L638" s="234"/>
      <c r="M638" s="234"/>
    </row>
    <row r="639">
      <c r="I639" s="234"/>
      <c r="J639" s="234"/>
      <c r="K639" s="234"/>
      <c r="L639" s="234"/>
      <c r="M639" s="234"/>
    </row>
    <row r="640">
      <c r="I640" s="234"/>
      <c r="J640" s="234"/>
      <c r="K640" s="234"/>
      <c r="L640" s="234"/>
      <c r="M640" s="234"/>
    </row>
    <row r="641">
      <c r="I641" s="234"/>
      <c r="J641" s="234"/>
      <c r="K641" s="234"/>
      <c r="L641" s="234"/>
      <c r="M641" s="234"/>
    </row>
    <row r="642">
      <c r="I642" s="234"/>
      <c r="J642" s="234"/>
      <c r="K642" s="234"/>
      <c r="L642" s="234"/>
      <c r="M642" s="234"/>
    </row>
    <row r="643">
      <c r="I643" s="234"/>
      <c r="J643" s="234"/>
      <c r="K643" s="234"/>
      <c r="L643" s="234"/>
      <c r="M643" s="234"/>
    </row>
    <row r="644">
      <c r="I644" s="234"/>
      <c r="J644" s="234"/>
      <c r="K644" s="234"/>
      <c r="L644" s="234"/>
      <c r="M644" s="234"/>
    </row>
    <row r="645">
      <c r="I645" s="234"/>
      <c r="J645" s="234"/>
      <c r="K645" s="234"/>
      <c r="L645" s="234"/>
      <c r="M645" s="234"/>
    </row>
    <row r="646">
      <c r="I646" s="234"/>
      <c r="J646" s="234"/>
      <c r="K646" s="234"/>
      <c r="L646" s="234"/>
      <c r="M646" s="234"/>
    </row>
    <row r="647">
      <c r="I647" s="234"/>
      <c r="J647" s="234"/>
      <c r="K647" s="234"/>
      <c r="L647" s="234"/>
      <c r="M647" s="234"/>
    </row>
    <row r="648">
      <c r="I648" s="234"/>
      <c r="J648" s="234"/>
      <c r="K648" s="234"/>
      <c r="L648" s="234"/>
      <c r="M648" s="234"/>
    </row>
    <row r="649">
      <c r="I649" s="234"/>
      <c r="J649" s="234"/>
      <c r="K649" s="234"/>
      <c r="L649" s="234"/>
      <c r="M649" s="234"/>
    </row>
    <row r="650">
      <c r="I650" s="234"/>
      <c r="J650" s="234"/>
      <c r="K650" s="234"/>
      <c r="L650" s="234"/>
      <c r="M650" s="234"/>
    </row>
    <row r="651">
      <c r="I651" s="234"/>
      <c r="J651" s="234"/>
      <c r="K651" s="234"/>
      <c r="L651" s="234"/>
      <c r="M651" s="234"/>
    </row>
    <row r="652">
      <c r="I652" s="234"/>
      <c r="J652" s="234"/>
      <c r="K652" s="234"/>
      <c r="L652" s="234"/>
      <c r="M652" s="234"/>
    </row>
    <row r="653">
      <c r="I653" s="234"/>
      <c r="J653" s="234"/>
      <c r="K653" s="234"/>
      <c r="L653" s="234"/>
      <c r="M653" s="234"/>
    </row>
    <row r="654">
      <c r="I654" s="234"/>
      <c r="J654" s="234"/>
      <c r="K654" s="234"/>
      <c r="L654" s="234"/>
      <c r="M654" s="234"/>
    </row>
    <row r="655">
      <c r="I655" s="234"/>
      <c r="J655" s="234"/>
      <c r="K655" s="234"/>
      <c r="L655" s="234"/>
      <c r="M655" s="234"/>
    </row>
    <row r="656">
      <c r="I656" s="234"/>
      <c r="J656" s="234"/>
      <c r="K656" s="234"/>
      <c r="L656" s="234"/>
      <c r="M656" s="234"/>
    </row>
    <row r="657">
      <c r="I657" s="234"/>
      <c r="J657" s="234"/>
      <c r="K657" s="234"/>
      <c r="L657" s="234"/>
      <c r="M657" s="234"/>
    </row>
    <row r="658">
      <c r="I658" s="234"/>
      <c r="J658" s="234"/>
      <c r="K658" s="234"/>
      <c r="L658" s="234"/>
      <c r="M658" s="234"/>
    </row>
    <row r="659">
      <c r="I659" s="234"/>
      <c r="J659" s="234"/>
      <c r="K659" s="234"/>
      <c r="L659" s="234"/>
      <c r="M659" s="234"/>
    </row>
    <row r="660">
      <c r="I660" s="234"/>
      <c r="J660" s="234"/>
      <c r="K660" s="234"/>
      <c r="L660" s="234"/>
      <c r="M660" s="234"/>
    </row>
    <row r="661">
      <c r="I661" s="234"/>
      <c r="J661" s="234"/>
      <c r="K661" s="234"/>
      <c r="L661" s="234"/>
      <c r="M661" s="234"/>
    </row>
    <row r="662">
      <c r="I662" s="234"/>
      <c r="J662" s="234"/>
      <c r="K662" s="234"/>
      <c r="L662" s="234"/>
      <c r="M662" s="234"/>
    </row>
    <row r="663">
      <c r="I663" s="234"/>
      <c r="J663" s="234"/>
      <c r="K663" s="234"/>
      <c r="L663" s="234"/>
      <c r="M663" s="234"/>
    </row>
    <row r="664">
      <c r="I664" s="234"/>
      <c r="J664" s="234"/>
      <c r="K664" s="234"/>
      <c r="L664" s="234"/>
      <c r="M664" s="234"/>
    </row>
    <row r="665">
      <c r="I665" s="234"/>
      <c r="J665" s="234"/>
      <c r="K665" s="234"/>
      <c r="L665" s="234"/>
      <c r="M665" s="234"/>
    </row>
    <row r="666">
      <c r="I666" s="234"/>
      <c r="J666" s="234"/>
      <c r="K666" s="234"/>
      <c r="L666" s="234"/>
      <c r="M666" s="234"/>
    </row>
    <row r="667">
      <c r="I667" s="234"/>
      <c r="J667" s="234"/>
      <c r="K667" s="234"/>
      <c r="L667" s="234"/>
      <c r="M667" s="234"/>
    </row>
    <row r="668">
      <c r="I668" s="234"/>
      <c r="J668" s="234"/>
      <c r="K668" s="234"/>
      <c r="L668" s="234"/>
      <c r="M668" s="234"/>
    </row>
    <row r="669">
      <c r="I669" s="234"/>
      <c r="J669" s="234"/>
      <c r="K669" s="234"/>
      <c r="L669" s="234"/>
      <c r="M669" s="234"/>
    </row>
    <row r="670">
      <c r="I670" s="234"/>
      <c r="J670" s="234"/>
      <c r="K670" s="234"/>
      <c r="L670" s="234"/>
      <c r="M670" s="234"/>
    </row>
    <row r="671">
      <c r="I671" s="234"/>
      <c r="J671" s="234"/>
      <c r="K671" s="234"/>
      <c r="L671" s="234"/>
      <c r="M671" s="234"/>
    </row>
    <row r="672">
      <c r="I672" s="234"/>
      <c r="J672" s="234"/>
      <c r="K672" s="234"/>
      <c r="L672" s="234"/>
      <c r="M672" s="234"/>
    </row>
    <row r="673">
      <c r="I673" s="234"/>
      <c r="J673" s="234"/>
      <c r="K673" s="234"/>
      <c r="L673" s="234"/>
      <c r="M673" s="234"/>
    </row>
    <row r="674">
      <c r="I674" s="234"/>
      <c r="J674" s="234"/>
      <c r="K674" s="234"/>
      <c r="L674" s="234"/>
      <c r="M674" s="234"/>
    </row>
    <row r="675">
      <c r="I675" s="234"/>
      <c r="J675" s="234"/>
      <c r="K675" s="234"/>
      <c r="L675" s="234"/>
      <c r="M675" s="234"/>
    </row>
    <row r="676">
      <c r="I676" s="234"/>
      <c r="J676" s="234"/>
      <c r="K676" s="234"/>
      <c r="L676" s="234"/>
      <c r="M676" s="234"/>
    </row>
    <row r="677">
      <c r="I677" s="234"/>
      <c r="J677" s="234"/>
      <c r="K677" s="234"/>
      <c r="L677" s="234"/>
      <c r="M677" s="234"/>
    </row>
    <row r="678">
      <c r="I678" s="234"/>
      <c r="J678" s="234"/>
      <c r="K678" s="234"/>
      <c r="L678" s="234"/>
      <c r="M678" s="234"/>
    </row>
    <row r="679">
      <c r="I679" s="234"/>
      <c r="J679" s="234"/>
      <c r="K679" s="234"/>
      <c r="L679" s="234"/>
      <c r="M679" s="234"/>
    </row>
    <row r="680">
      <c r="I680" s="234"/>
      <c r="J680" s="234"/>
      <c r="K680" s="234"/>
      <c r="L680" s="234"/>
      <c r="M680" s="234"/>
    </row>
    <row r="681">
      <c r="I681" s="234"/>
      <c r="J681" s="234"/>
      <c r="K681" s="234"/>
      <c r="L681" s="234"/>
      <c r="M681" s="234"/>
    </row>
    <row r="682">
      <c r="I682" s="234"/>
      <c r="J682" s="234"/>
      <c r="K682" s="234"/>
      <c r="L682" s="234"/>
      <c r="M682" s="234"/>
    </row>
    <row r="683">
      <c r="I683" s="234"/>
      <c r="J683" s="234"/>
      <c r="K683" s="234"/>
      <c r="L683" s="234"/>
      <c r="M683" s="234"/>
    </row>
    <row r="684">
      <c r="I684" s="234"/>
      <c r="J684" s="234"/>
      <c r="K684" s="234"/>
      <c r="L684" s="234"/>
      <c r="M684" s="234"/>
    </row>
    <row r="685">
      <c r="I685" s="234"/>
      <c r="J685" s="234"/>
      <c r="K685" s="234"/>
      <c r="L685" s="234"/>
      <c r="M685" s="234"/>
    </row>
    <row r="686">
      <c r="I686" s="234"/>
      <c r="J686" s="234"/>
      <c r="K686" s="234"/>
      <c r="L686" s="234"/>
      <c r="M686" s="234"/>
    </row>
    <row r="687">
      <c r="I687" s="234"/>
      <c r="J687" s="234"/>
      <c r="K687" s="234"/>
      <c r="L687" s="234"/>
      <c r="M687" s="234"/>
    </row>
    <row r="688">
      <c r="I688" s="234"/>
      <c r="J688" s="234"/>
      <c r="K688" s="234"/>
      <c r="L688" s="234"/>
      <c r="M688" s="234"/>
    </row>
    <row r="689">
      <c r="I689" s="234"/>
      <c r="J689" s="234"/>
      <c r="K689" s="234"/>
      <c r="L689" s="234"/>
      <c r="M689" s="234"/>
    </row>
    <row r="690">
      <c r="I690" s="234"/>
      <c r="J690" s="234"/>
      <c r="K690" s="234"/>
      <c r="L690" s="234"/>
      <c r="M690" s="234"/>
    </row>
    <row r="691">
      <c r="I691" s="234"/>
      <c r="J691" s="234"/>
      <c r="K691" s="234"/>
      <c r="L691" s="234"/>
      <c r="M691" s="234"/>
    </row>
    <row r="692">
      <c r="I692" s="234"/>
      <c r="J692" s="234"/>
      <c r="K692" s="234"/>
      <c r="L692" s="234"/>
      <c r="M692" s="234"/>
    </row>
    <row r="693">
      <c r="I693" s="234"/>
      <c r="J693" s="234"/>
      <c r="K693" s="234"/>
      <c r="L693" s="234"/>
      <c r="M693" s="234"/>
    </row>
    <row r="694">
      <c r="I694" s="234"/>
      <c r="J694" s="234"/>
      <c r="K694" s="234"/>
      <c r="L694" s="234"/>
      <c r="M694" s="234"/>
    </row>
    <row r="695">
      <c r="I695" s="234"/>
      <c r="J695" s="234"/>
      <c r="K695" s="234"/>
      <c r="L695" s="234"/>
      <c r="M695" s="234"/>
    </row>
    <row r="696">
      <c r="I696" s="234"/>
      <c r="J696" s="234"/>
      <c r="K696" s="234"/>
      <c r="L696" s="234"/>
      <c r="M696" s="234"/>
    </row>
    <row r="697">
      <c r="I697" s="234"/>
      <c r="J697" s="234"/>
      <c r="K697" s="234"/>
      <c r="L697" s="234"/>
      <c r="M697" s="234"/>
    </row>
    <row r="698">
      <c r="I698" s="234"/>
      <c r="J698" s="234"/>
      <c r="K698" s="234"/>
      <c r="L698" s="234"/>
      <c r="M698" s="234"/>
    </row>
    <row r="699">
      <c r="I699" s="234"/>
      <c r="J699" s="234"/>
      <c r="K699" s="234"/>
      <c r="L699" s="234"/>
      <c r="M699" s="234"/>
    </row>
    <row r="700">
      <c r="I700" s="234"/>
      <c r="J700" s="234"/>
      <c r="K700" s="234"/>
      <c r="L700" s="234"/>
      <c r="M700" s="234"/>
    </row>
    <row r="701">
      <c r="I701" s="234"/>
      <c r="J701" s="234"/>
      <c r="K701" s="234"/>
      <c r="L701" s="234"/>
      <c r="M701" s="234"/>
    </row>
    <row r="702">
      <c r="I702" s="234"/>
      <c r="J702" s="234"/>
      <c r="K702" s="234"/>
      <c r="L702" s="234"/>
      <c r="M702" s="234"/>
    </row>
    <row r="703">
      <c r="I703" s="234"/>
      <c r="J703" s="234"/>
      <c r="K703" s="234"/>
      <c r="L703" s="234"/>
      <c r="M703" s="234"/>
    </row>
    <row r="704">
      <c r="I704" s="234"/>
      <c r="J704" s="234"/>
      <c r="K704" s="234"/>
      <c r="L704" s="234"/>
      <c r="M704" s="234"/>
    </row>
    <row r="705">
      <c r="I705" s="234"/>
      <c r="J705" s="234"/>
      <c r="K705" s="234"/>
      <c r="L705" s="234"/>
      <c r="M705" s="234"/>
    </row>
    <row r="706">
      <c r="I706" s="234"/>
      <c r="J706" s="234"/>
      <c r="K706" s="234"/>
      <c r="L706" s="234"/>
      <c r="M706" s="234"/>
    </row>
    <row r="707">
      <c r="I707" s="234"/>
      <c r="J707" s="234"/>
      <c r="K707" s="234"/>
      <c r="L707" s="234"/>
      <c r="M707" s="234"/>
    </row>
    <row r="708">
      <c r="I708" s="234"/>
      <c r="J708" s="234"/>
      <c r="K708" s="234"/>
      <c r="L708" s="234"/>
      <c r="M708" s="234"/>
    </row>
    <row r="709">
      <c r="I709" s="234"/>
      <c r="J709" s="234"/>
      <c r="K709" s="234"/>
      <c r="L709" s="234"/>
      <c r="M709" s="234"/>
    </row>
    <row r="710">
      <c r="I710" s="234"/>
      <c r="J710" s="234"/>
      <c r="K710" s="234"/>
      <c r="L710" s="234"/>
      <c r="M710" s="234"/>
    </row>
    <row r="711">
      <c r="I711" s="234"/>
      <c r="J711" s="234"/>
      <c r="K711" s="234"/>
      <c r="L711" s="234"/>
      <c r="M711" s="234"/>
    </row>
    <row r="712">
      <c r="I712" s="234"/>
      <c r="J712" s="234"/>
      <c r="K712" s="234"/>
      <c r="L712" s="234"/>
      <c r="M712" s="234"/>
    </row>
    <row r="713">
      <c r="I713" s="234"/>
      <c r="J713" s="234"/>
      <c r="K713" s="234"/>
      <c r="L713" s="234"/>
      <c r="M713" s="234"/>
    </row>
    <row r="714">
      <c r="I714" s="234"/>
      <c r="J714" s="234"/>
      <c r="K714" s="234"/>
      <c r="L714" s="234"/>
      <c r="M714" s="234"/>
    </row>
    <row r="715">
      <c r="I715" s="234"/>
      <c r="J715" s="234"/>
      <c r="K715" s="234"/>
      <c r="L715" s="234"/>
      <c r="M715" s="234"/>
    </row>
    <row r="716">
      <c r="I716" s="234"/>
      <c r="J716" s="234"/>
      <c r="K716" s="234"/>
      <c r="L716" s="234"/>
      <c r="M716" s="234"/>
    </row>
    <row r="717">
      <c r="I717" s="234"/>
      <c r="J717" s="234"/>
      <c r="K717" s="234"/>
      <c r="L717" s="234"/>
      <c r="M717" s="234"/>
    </row>
    <row r="718">
      <c r="I718" s="234"/>
      <c r="J718" s="234"/>
      <c r="K718" s="234"/>
      <c r="L718" s="234"/>
      <c r="M718" s="234"/>
    </row>
    <row r="719">
      <c r="I719" s="234"/>
      <c r="J719" s="234"/>
      <c r="K719" s="234"/>
      <c r="L719" s="234"/>
      <c r="M719" s="234"/>
    </row>
    <row r="720">
      <c r="I720" s="234"/>
      <c r="J720" s="234"/>
      <c r="K720" s="234"/>
      <c r="L720" s="234"/>
      <c r="M720" s="234"/>
    </row>
    <row r="721">
      <c r="I721" s="234"/>
      <c r="J721" s="234"/>
      <c r="K721" s="234"/>
      <c r="L721" s="234"/>
      <c r="M721" s="234"/>
    </row>
    <row r="722">
      <c r="I722" s="234"/>
      <c r="J722" s="234"/>
      <c r="K722" s="234"/>
      <c r="L722" s="234"/>
      <c r="M722" s="234"/>
    </row>
    <row r="723">
      <c r="I723" s="234"/>
      <c r="J723" s="234"/>
      <c r="K723" s="234"/>
      <c r="L723" s="234"/>
      <c r="M723" s="234"/>
    </row>
    <row r="724">
      <c r="I724" s="234"/>
      <c r="J724" s="234"/>
      <c r="K724" s="234"/>
      <c r="L724" s="234"/>
      <c r="M724" s="234"/>
    </row>
    <row r="725">
      <c r="I725" s="234"/>
      <c r="J725" s="234"/>
      <c r="K725" s="234"/>
      <c r="L725" s="234"/>
      <c r="M725" s="234"/>
    </row>
    <row r="726">
      <c r="I726" s="234"/>
      <c r="J726" s="234"/>
      <c r="K726" s="234"/>
      <c r="L726" s="234"/>
      <c r="M726" s="234"/>
    </row>
    <row r="727">
      <c r="I727" s="234"/>
      <c r="J727" s="234"/>
      <c r="K727" s="234"/>
      <c r="L727" s="234"/>
      <c r="M727" s="234"/>
    </row>
    <row r="728">
      <c r="I728" s="234"/>
      <c r="J728" s="234"/>
      <c r="K728" s="234"/>
      <c r="L728" s="234"/>
      <c r="M728" s="234"/>
    </row>
    <row r="729">
      <c r="I729" s="234"/>
      <c r="J729" s="234"/>
      <c r="K729" s="234"/>
      <c r="L729" s="234"/>
      <c r="M729" s="234"/>
    </row>
    <row r="730">
      <c r="I730" s="234"/>
      <c r="J730" s="234"/>
      <c r="K730" s="234"/>
      <c r="L730" s="234"/>
      <c r="M730" s="234"/>
    </row>
    <row r="731">
      <c r="I731" s="234"/>
      <c r="J731" s="234"/>
      <c r="K731" s="234"/>
      <c r="L731" s="234"/>
      <c r="M731" s="234"/>
    </row>
    <row r="732">
      <c r="I732" s="234"/>
      <c r="J732" s="234"/>
      <c r="K732" s="234"/>
      <c r="L732" s="234"/>
      <c r="M732" s="234"/>
    </row>
    <row r="733">
      <c r="I733" s="234"/>
      <c r="J733" s="234"/>
      <c r="K733" s="234"/>
      <c r="L733" s="234"/>
      <c r="M733" s="234"/>
    </row>
    <row r="734">
      <c r="I734" s="234"/>
      <c r="J734" s="234"/>
      <c r="K734" s="234"/>
      <c r="L734" s="234"/>
      <c r="M734" s="234"/>
    </row>
    <row r="735">
      <c r="I735" s="234"/>
      <c r="J735" s="234"/>
      <c r="K735" s="234"/>
      <c r="L735" s="234"/>
      <c r="M735" s="234"/>
    </row>
    <row r="736">
      <c r="I736" s="234"/>
      <c r="J736" s="234"/>
      <c r="K736" s="234"/>
      <c r="L736" s="234"/>
      <c r="M736" s="234"/>
    </row>
    <row r="737">
      <c r="I737" s="234"/>
      <c r="J737" s="234"/>
      <c r="K737" s="234"/>
      <c r="L737" s="234"/>
      <c r="M737" s="234"/>
    </row>
    <row r="738">
      <c r="I738" s="234"/>
      <c r="J738" s="234"/>
      <c r="K738" s="234"/>
      <c r="L738" s="234"/>
      <c r="M738" s="234"/>
    </row>
    <row r="739">
      <c r="I739" s="234"/>
      <c r="J739" s="234"/>
      <c r="K739" s="234"/>
      <c r="L739" s="234"/>
      <c r="M739" s="234"/>
    </row>
    <row r="740">
      <c r="I740" s="234"/>
      <c r="J740" s="234"/>
      <c r="K740" s="234"/>
      <c r="L740" s="234"/>
      <c r="M740" s="234"/>
    </row>
    <row r="741">
      <c r="I741" s="234"/>
      <c r="J741" s="234"/>
      <c r="K741" s="234"/>
      <c r="L741" s="234"/>
      <c r="M741" s="234"/>
    </row>
    <row r="742">
      <c r="I742" s="234"/>
      <c r="J742" s="234"/>
      <c r="K742" s="234"/>
      <c r="L742" s="234"/>
      <c r="M742" s="234"/>
    </row>
    <row r="743">
      <c r="I743" s="234"/>
      <c r="J743" s="234"/>
      <c r="K743" s="234"/>
      <c r="L743" s="234"/>
      <c r="M743" s="234"/>
    </row>
    <row r="744">
      <c r="I744" s="234"/>
      <c r="J744" s="234"/>
      <c r="K744" s="234"/>
      <c r="L744" s="234"/>
      <c r="M744" s="234"/>
    </row>
    <row r="745">
      <c r="I745" s="234"/>
      <c r="J745" s="234"/>
      <c r="K745" s="234"/>
      <c r="L745" s="234"/>
      <c r="M745" s="234"/>
    </row>
    <row r="746">
      <c r="I746" s="234"/>
      <c r="J746" s="234"/>
      <c r="K746" s="234"/>
      <c r="L746" s="234"/>
      <c r="M746" s="234"/>
    </row>
    <row r="747">
      <c r="I747" s="234"/>
      <c r="J747" s="234"/>
      <c r="K747" s="234"/>
      <c r="L747" s="234"/>
      <c r="M747" s="234"/>
    </row>
    <row r="748">
      <c r="I748" s="234"/>
      <c r="J748" s="234"/>
      <c r="K748" s="234"/>
      <c r="L748" s="234"/>
      <c r="M748" s="234"/>
    </row>
    <row r="749">
      <c r="I749" s="234"/>
      <c r="J749" s="234"/>
      <c r="K749" s="234"/>
      <c r="L749" s="234"/>
      <c r="M749" s="234"/>
    </row>
    <row r="750">
      <c r="I750" s="234"/>
      <c r="J750" s="234"/>
      <c r="K750" s="234"/>
      <c r="L750" s="234"/>
      <c r="M750" s="234"/>
    </row>
    <row r="751">
      <c r="I751" s="234"/>
      <c r="J751" s="234"/>
      <c r="K751" s="234"/>
      <c r="L751" s="234"/>
      <c r="M751" s="234"/>
    </row>
    <row r="752">
      <c r="I752" s="234"/>
      <c r="J752" s="234"/>
      <c r="K752" s="234"/>
      <c r="L752" s="234"/>
      <c r="M752" s="234"/>
    </row>
    <row r="753">
      <c r="I753" s="234"/>
      <c r="J753" s="234"/>
      <c r="K753" s="234"/>
      <c r="L753" s="234"/>
      <c r="M753" s="234"/>
    </row>
    <row r="754">
      <c r="I754" s="234"/>
      <c r="J754" s="234"/>
      <c r="K754" s="234"/>
      <c r="L754" s="234"/>
      <c r="M754" s="234"/>
    </row>
    <row r="755">
      <c r="I755" s="234"/>
      <c r="J755" s="234"/>
      <c r="K755" s="234"/>
      <c r="L755" s="234"/>
      <c r="M755" s="234"/>
    </row>
    <row r="756">
      <c r="I756" s="234"/>
      <c r="J756" s="234"/>
      <c r="K756" s="234"/>
      <c r="L756" s="234"/>
      <c r="M756" s="234"/>
    </row>
    <row r="757">
      <c r="I757" s="234"/>
      <c r="J757" s="234"/>
      <c r="K757" s="234"/>
      <c r="L757" s="234"/>
      <c r="M757" s="234"/>
    </row>
    <row r="758">
      <c r="I758" s="234"/>
      <c r="J758" s="234"/>
      <c r="K758" s="234"/>
      <c r="L758" s="234"/>
      <c r="M758" s="234"/>
    </row>
    <row r="759">
      <c r="I759" s="234"/>
      <c r="J759" s="234"/>
      <c r="K759" s="234"/>
      <c r="L759" s="234"/>
      <c r="M759" s="234"/>
    </row>
    <row r="760">
      <c r="I760" s="234"/>
      <c r="J760" s="234"/>
      <c r="K760" s="234"/>
      <c r="L760" s="234"/>
      <c r="M760" s="234"/>
    </row>
    <row r="761">
      <c r="I761" s="234"/>
      <c r="J761" s="234"/>
      <c r="K761" s="234"/>
      <c r="L761" s="234"/>
      <c r="M761" s="234"/>
    </row>
    <row r="762">
      <c r="I762" s="234"/>
      <c r="J762" s="234"/>
      <c r="K762" s="234"/>
      <c r="L762" s="234"/>
      <c r="M762" s="234"/>
    </row>
    <row r="763">
      <c r="I763" s="234"/>
      <c r="J763" s="234"/>
      <c r="K763" s="234"/>
      <c r="L763" s="234"/>
      <c r="M763" s="234"/>
    </row>
    <row r="764">
      <c r="I764" s="234"/>
      <c r="J764" s="234"/>
      <c r="K764" s="234"/>
      <c r="L764" s="234"/>
      <c r="M764" s="234"/>
    </row>
    <row r="765">
      <c r="I765" s="234"/>
      <c r="J765" s="234"/>
      <c r="K765" s="234"/>
      <c r="L765" s="234"/>
      <c r="M765" s="234"/>
    </row>
    <row r="766">
      <c r="I766" s="234"/>
      <c r="J766" s="234"/>
      <c r="K766" s="234"/>
      <c r="L766" s="234"/>
      <c r="M766" s="234"/>
    </row>
    <row r="767">
      <c r="I767" s="234"/>
      <c r="J767" s="234"/>
      <c r="K767" s="234"/>
      <c r="L767" s="234"/>
      <c r="M767" s="234"/>
    </row>
    <row r="768">
      <c r="I768" s="234"/>
      <c r="J768" s="234"/>
      <c r="K768" s="234"/>
      <c r="L768" s="234"/>
      <c r="M768" s="234"/>
    </row>
    <row r="769">
      <c r="I769" s="234"/>
      <c r="J769" s="234"/>
      <c r="K769" s="234"/>
      <c r="L769" s="234"/>
      <c r="M769" s="234"/>
    </row>
    <row r="770">
      <c r="I770" s="234"/>
      <c r="J770" s="234"/>
      <c r="K770" s="234"/>
      <c r="L770" s="234"/>
      <c r="M770" s="234"/>
    </row>
    <row r="771">
      <c r="I771" s="234"/>
      <c r="J771" s="234"/>
      <c r="K771" s="234"/>
      <c r="L771" s="234"/>
      <c r="M771" s="234"/>
    </row>
    <row r="772">
      <c r="I772" s="234"/>
      <c r="J772" s="234"/>
      <c r="K772" s="234"/>
      <c r="L772" s="234"/>
      <c r="M772" s="234"/>
    </row>
    <row r="773">
      <c r="I773" s="234"/>
      <c r="J773" s="234"/>
      <c r="K773" s="234"/>
      <c r="L773" s="234"/>
      <c r="M773" s="234"/>
    </row>
    <row r="774">
      <c r="I774" s="234"/>
      <c r="J774" s="234"/>
      <c r="K774" s="234"/>
      <c r="L774" s="234"/>
      <c r="M774" s="234"/>
    </row>
    <row r="775">
      <c r="I775" s="234"/>
      <c r="J775" s="234"/>
      <c r="K775" s="234"/>
      <c r="L775" s="234"/>
      <c r="M775" s="234"/>
    </row>
    <row r="776">
      <c r="I776" s="234"/>
      <c r="J776" s="234"/>
      <c r="K776" s="234"/>
      <c r="L776" s="234"/>
      <c r="M776" s="234"/>
    </row>
    <row r="777">
      <c r="I777" s="234"/>
      <c r="J777" s="234"/>
      <c r="K777" s="234"/>
      <c r="L777" s="234"/>
      <c r="M777" s="234"/>
    </row>
    <row r="778">
      <c r="I778" s="234"/>
      <c r="J778" s="234"/>
      <c r="K778" s="234"/>
      <c r="L778" s="234"/>
      <c r="M778" s="234"/>
    </row>
    <row r="779">
      <c r="I779" s="234"/>
      <c r="J779" s="234"/>
      <c r="K779" s="234"/>
      <c r="L779" s="234"/>
      <c r="M779" s="234"/>
    </row>
    <row r="780">
      <c r="I780" s="234"/>
      <c r="J780" s="234"/>
      <c r="K780" s="234"/>
      <c r="L780" s="234"/>
      <c r="M780" s="234"/>
    </row>
    <row r="781">
      <c r="I781" s="234"/>
      <c r="J781" s="234"/>
      <c r="K781" s="234"/>
      <c r="L781" s="234"/>
      <c r="M781" s="234"/>
    </row>
    <row r="782">
      <c r="I782" s="234"/>
      <c r="J782" s="234"/>
      <c r="K782" s="234"/>
      <c r="L782" s="234"/>
      <c r="M782" s="234"/>
    </row>
    <row r="783">
      <c r="I783" s="234"/>
      <c r="J783" s="234"/>
      <c r="K783" s="234"/>
      <c r="L783" s="234"/>
      <c r="M783" s="234"/>
    </row>
    <row r="784">
      <c r="I784" s="234"/>
      <c r="J784" s="234"/>
      <c r="K784" s="234"/>
      <c r="L784" s="234"/>
      <c r="M784" s="234"/>
    </row>
    <row r="785">
      <c r="I785" s="234"/>
      <c r="J785" s="234"/>
      <c r="K785" s="234"/>
      <c r="L785" s="234"/>
      <c r="M785" s="234"/>
    </row>
    <row r="786">
      <c r="I786" s="234"/>
      <c r="J786" s="234"/>
      <c r="K786" s="234"/>
      <c r="L786" s="234"/>
      <c r="M786" s="234"/>
    </row>
    <row r="787">
      <c r="I787" s="234"/>
      <c r="J787" s="234"/>
      <c r="K787" s="234"/>
      <c r="L787" s="234"/>
      <c r="M787" s="234"/>
    </row>
    <row r="788">
      <c r="I788" s="234"/>
      <c r="J788" s="234"/>
      <c r="K788" s="234"/>
      <c r="L788" s="234"/>
      <c r="M788" s="234"/>
    </row>
    <row r="789">
      <c r="I789" s="234"/>
      <c r="J789" s="234"/>
      <c r="K789" s="234"/>
      <c r="L789" s="234"/>
      <c r="M789" s="234"/>
    </row>
    <row r="790">
      <c r="I790" s="234"/>
      <c r="J790" s="234"/>
      <c r="K790" s="234"/>
      <c r="L790" s="234"/>
      <c r="M790" s="234"/>
    </row>
    <row r="791">
      <c r="I791" s="234"/>
      <c r="J791" s="234"/>
      <c r="K791" s="234"/>
      <c r="L791" s="234"/>
      <c r="M791" s="234"/>
    </row>
    <row r="792">
      <c r="I792" s="234"/>
      <c r="J792" s="234"/>
      <c r="K792" s="234"/>
      <c r="L792" s="234"/>
      <c r="M792" s="234"/>
    </row>
    <row r="793">
      <c r="I793" s="234"/>
      <c r="J793" s="234"/>
      <c r="K793" s="234"/>
      <c r="L793" s="234"/>
      <c r="M793" s="234"/>
    </row>
    <row r="794">
      <c r="I794" s="234"/>
      <c r="J794" s="234"/>
      <c r="K794" s="234"/>
      <c r="L794" s="234"/>
      <c r="M794" s="234"/>
    </row>
    <row r="795">
      <c r="I795" s="234"/>
      <c r="J795" s="234"/>
      <c r="K795" s="234"/>
      <c r="L795" s="234"/>
      <c r="M795" s="234"/>
    </row>
    <row r="796">
      <c r="I796" s="234"/>
      <c r="J796" s="234"/>
      <c r="K796" s="234"/>
      <c r="L796" s="234"/>
      <c r="M796" s="234"/>
    </row>
    <row r="797">
      <c r="I797" s="234"/>
      <c r="J797" s="234"/>
      <c r="K797" s="234"/>
      <c r="L797" s="234"/>
      <c r="M797" s="234"/>
    </row>
    <row r="798">
      <c r="I798" s="234"/>
      <c r="J798" s="234"/>
      <c r="K798" s="234"/>
      <c r="L798" s="234"/>
      <c r="M798" s="234"/>
    </row>
    <row r="799">
      <c r="I799" s="234"/>
      <c r="J799" s="234"/>
      <c r="K799" s="234"/>
      <c r="L799" s="234"/>
      <c r="M799" s="234"/>
    </row>
    <row r="800">
      <c r="I800" s="234"/>
      <c r="J800" s="234"/>
      <c r="K800" s="234"/>
      <c r="L800" s="234"/>
      <c r="M800" s="234"/>
    </row>
    <row r="801">
      <c r="I801" s="234"/>
      <c r="J801" s="234"/>
      <c r="K801" s="234"/>
      <c r="L801" s="234"/>
      <c r="M801" s="234"/>
    </row>
    <row r="802">
      <c r="I802" s="234"/>
      <c r="J802" s="234"/>
      <c r="K802" s="234"/>
      <c r="L802" s="234"/>
      <c r="M802" s="234"/>
    </row>
    <row r="803">
      <c r="I803" s="234"/>
      <c r="J803" s="234"/>
      <c r="K803" s="234"/>
      <c r="L803" s="234"/>
      <c r="M803" s="234"/>
    </row>
    <row r="804">
      <c r="I804" s="234"/>
      <c r="J804" s="234"/>
      <c r="K804" s="234"/>
      <c r="L804" s="234"/>
      <c r="M804" s="234"/>
    </row>
    <row r="805">
      <c r="I805" s="234"/>
      <c r="J805" s="234"/>
      <c r="K805" s="234"/>
      <c r="L805" s="234"/>
      <c r="M805" s="234"/>
    </row>
    <row r="806">
      <c r="I806" s="234"/>
      <c r="J806" s="234"/>
      <c r="K806" s="234"/>
      <c r="L806" s="234"/>
      <c r="M806" s="234"/>
    </row>
    <row r="807">
      <c r="I807" s="234"/>
      <c r="J807" s="234"/>
      <c r="K807" s="234"/>
      <c r="L807" s="234"/>
      <c r="M807" s="234"/>
    </row>
    <row r="808">
      <c r="I808" s="234"/>
      <c r="J808" s="234"/>
      <c r="K808" s="234"/>
      <c r="L808" s="234"/>
      <c r="M808" s="234"/>
    </row>
    <row r="809">
      <c r="I809" s="234"/>
      <c r="J809" s="234"/>
      <c r="K809" s="234"/>
      <c r="L809" s="234"/>
      <c r="M809" s="234"/>
    </row>
    <row r="810">
      <c r="I810" s="234"/>
      <c r="J810" s="234"/>
      <c r="K810" s="234"/>
      <c r="L810" s="234"/>
      <c r="M810" s="234"/>
    </row>
    <row r="811">
      <c r="I811" s="234"/>
      <c r="J811" s="234"/>
      <c r="K811" s="234"/>
      <c r="L811" s="234"/>
      <c r="M811" s="234"/>
    </row>
    <row r="812">
      <c r="I812" s="234"/>
      <c r="J812" s="234"/>
      <c r="K812" s="234"/>
      <c r="L812" s="234"/>
      <c r="M812" s="234"/>
    </row>
    <row r="813">
      <c r="I813" s="234"/>
      <c r="J813" s="234"/>
      <c r="K813" s="234"/>
      <c r="L813" s="234"/>
      <c r="M813" s="234"/>
    </row>
    <row r="814">
      <c r="I814" s="234"/>
      <c r="J814" s="234"/>
      <c r="K814" s="234"/>
      <c r="L814" s="234"/>
      <c r="M814" s="234"/>
    </row>
    <row r="815">
      <c r="I815" s="234"/>
      <c r="J815" s="234"/>
      <c r="K815" s="234"/>
      <c r="L815" s="234"/>
      <c r="M815" s="234"/>
    </row>
    <row r="816">
      <c r="I816" s="234"/>
      <c r="J816" s="234"/>
      <c r="K816" s="234"/>
      <c r="L816" s="234"/>
      <c r="M816" s="234"/>
    </row>
    <row r="817">
      <c r="I817" s="234"/>
      <c r="J817" s="234"/>
      <c r="K817" s="234"/>
      <c r="L817" s="234"/>
      <c r="M817" s="234"/>
    </row>
    <row r="818">
      <c r="I818" s="234"/>
      <c r="J818" s="234"/>
      <c r="K818" s="234"/>
      <c r="L818" s="234"/>
      <c r="M818" s="234"/>
    </row>
    <row r="819">
      <c r="I819" s="234"/>
      <c r="J819" s="234"/>
      <c r="K819" s="234"/>
      <c r="L819" s="234"/>
      <c r="M819" s="234"/>
    </row>
    <row r="820">
      <c r="I820" s="234"/>
      <c r="J820" s="234"/>
      <c r="K820" s="234"/>
      <c r="L820" s="234"/>
      <c r="M820" s="234"/>
    </row>
    <row r="821">
      <c r="I821" s="234"/>
      <c r="J821" s="234"/>
      <c r="K821" s="234"/>
      <c r="L821" s="234"/>
      <c r="M821" s="234"/>
    </row>
    <row r="822">
      <c r="I822" s="234"/>
      <c r="J822" s="234"/>
      <c r="K822" s="234"/>
      <c r="L822" s="234"/>
      <c r="M822" s="234"/>
    </row>
    <row r="823">
      <c r="I823" s="234"/>
      <c r="J823" s="234"/>
      <c r="K823" s="234"/>
      <c r="L823" s="234"/>
      <c r="M823" s="234"/>
    </row>
    <row r="824">
      <c r="I824" s="234"/>
      <c r="J824" s="234"/>
      <c r="K824" s="234"/>
      <c r="L824" s="234"/>
      <c r="M824" s="234"/>
    </row>
    <row r="825">
      <c r="I825" s="234"/>
      <c r="J825" s="234"/>
      <c r="K825" s="234"/>
      <c r="L825" s="234"/>
      <c r="M825" s="234"/>
    </row>
    <row r="826">
      <c r="I826" s="234"/>
      <c r="J826" s="234"/>
      <c r="K826" s="234"/>
      <c r="L826" s="234"/>
      <c r="M826" s="234"/>
    </row>
    <row r="827">
      <c r="I827" s="234"/>
      <c r="J827" s="234"/>
      <c r="K827" s="234"/>
      <c r="L827" s="234"/>
      <c r="M827" s="234"/>
    </row>
    <row r="828">
      <c r="I828" s="234"/>
      <c r="J828" s="234"/>
      <c r="K828" s="234"/>
      <c r="L828" s="234"/>
      <c r="M828" s="234"/>
    </row>
    <row r="829">
      <c r="I829" s="234"/>
      <c r="J829" s="234"/>
      <c r="K829" s="234"/>
      <c r="L829" s="234"/>
      <c r="M829" s="234"/>
    </row>
    <row r="830">
      <c r="I830" s="234"/>
      <c r="J830" s="234"/>
      <c r="K830" s="234"/>
      <c r="L830" s="234"/>
      <c r="M830" s="234"/>
    </row>
    <row r="831">
      <c r="I831" s="234"/>
      <c r="J831" s="234"/>
      <c r="K831" s="234"/>
      <c r="L831" s="234"/>
      <c r="M831" s="234"/>
    </row>
    <row r="832">
      <c r="I832" s="234"/>
      <c r="J832" s="234"/>
      <c r="K832" s="234"/>
      <c r="L832" s="234"/>
      <c r="M832" s="234"/>
    </row>
    <row r="833">
      <c r="I833" s="234"/>
      <c r="J833" s="234"/>
      <c r="K833" s="234"/>
      <c r="L833" s="234"/>
      <c r="M833" s="234"/>
    </row>
    <row r="834">
      <c r="I834" s="234"/>
      <c r="J834" s="234"/>
      <c r="K834" s="234"/>
      <c r="L834" s="234"/>
      <c r="M834" s="234"/>
    </row>
    <row r="835">
      <c r="I835" s="234"/>
      <c r="J835" s="234"/>
      <c r="K835" s="234"/>
      <c r="L835" s="234"/>
      <c r="M835" s="234"/>
    </row>
    <row r="836">
      <c r="I836" s="234"/>
      <c r="J836" s="234"/>
      <c r="K836" s="234"/>
      <c r="L836" s="234"/>
      <c r="M836" s="234"/>
    </row>
    <row r="837">
      <c r="I837" s="234"/>
      <c r="J837" s="234"/>
      <c r="K837" s="234"/>
      <c r="L837" s="234"/>
      <c r="M837" s="234"/>
    </row>
    <row r="838">
      <c r="I838" s="234"/>
      <c r="J838" s="234"/>
      <c r="K838" s="234"/>
      <c r="L838" s="234"/>
      <c r="M838" s="234"/>
    </row>
    <row r="839">
      <c r="I839" s="234"/>
      <c r="J839" s="234"/>
      <c r="K839" s="234"/>
      <c r="L839" s="234"/>
      <c r="M839" s="234"/>
    </row>
    <row r="840">
      <c r="I840" s="234"/>
      <c r="J840" s="234"/>
      <c r="K840" s="234"/>
      <c r="L840" s="234"/>
      <c r="M840" s="234"/>
    </row>
    <row r="841">
      <c r="I841" s="234"/>
      <c r="J841" s="234"/>
      <c r="K841" s="234"/>
      <c r="L841" s="234"/>
      <c r="M841" s="234"/>
    </row>
    <row r="842">
      <c r="I842" s="234"/>
      <c r="J842" s="234"/>
      <c r="K842" s="234"/>
      <c r="L842" s="234"/>
      <c r="M842" s="234"/>
    </row>
    <row r="843">
      <c r="I843" s="234"/>
      <c r="J843" s="234"/>
      <c r="K843" s="234"/>
      <c r="L843" s="234"/>
      <c r="M843" s="234"/>
    </row>
    <row r="844">
      <c r="I844" s="234"/>
      <c r="J844" s="234"/>
      <c r="K844" s="234"/>
      <c r="L844" s="234"/>
      <c r="M844" s="234"/>
    </row>
    <row r="845">
      <c r="I845" s="234"/>
      <c r="J845" s="234"/>
      <c r="K845" s="234"/>
      <c r="L845" s="234"/>
      <c r="M845" s="234"/>
    </row>
    <row r="846">
      <c r="I846" s="234"/>
      <c r="J846" s="234"/>
      <c r="K846" s="234"/>
      <c r="L846" s="234"/>
      <c r="M846" s="234"/>
    </row>
    <row r="847">
      <c r="I847" s="234"/>
      <c r="J847" s="234"/>
      <c r="K847" s="234"/>
      <c r="L847" s="234"/>
      <c r="M847" s="234"/>
    </row>
    <row r="848">
      <c r="I848" s="234"/>
      <c r="J848" s="234"/>
      <c r="K848" s="234"/>
      <c r="L848" s="234"/>
      <c r="M848" s="234"/>
    </row>
    <row r="849">
      <c r="I849" s="234"/>
      <c r="J849" s="234"/>
      <c r="K849" s="234"/>
      <c r="L849" s="234"/>
      <c r="M849" s="234"/>
    </row>
    <row r="850">
      <c r="I850" s="234"/>
      <c r="J850" s="234"/>
      <c r="K850" s="234"/>
      <c r="L850" s="234"/>
      <c r="M850" s="234"/>
    </row>
    <row r="851">
      <c r="I851" s="234"/>
      <c r="J851" s="234"/>
      <c r="K851" s="234"/>
      <c r="L851" s="234"/>
      <c r="M851" s="234"/>
    </row>
    <row r="852">
      <c r="I852" s="234"/>
      <c r="J852" s="234"/>
      <c r="K852" s="234"/>
      <c r="L852" s="234"/>
      <c r="M852" s="234"/>
    </row>
    <row r="853">
      <c r="I853" s="234"/>
      <c r="J853" s="234"/>
      <c r="K853" s="234"/>
      <c r="L853" s="234"/>
      <c r="M853" s="234"/>
    </row>
    <row r="854">
      <c r="I854" s="234"/>
      <c r="J854" s="234"/>
      <c r="K854" s="234"/>
      <c r="L854" s="234"/>
      <c r="M854" s="234"/>
    </row>
    <row r="855">
      <c r="I855" s="234"/>
      <c r="J855" s="234"/>
      <c r="K855" s="234"/>
      <c r="L855" s="234"/>
      <c r="M855" s="234"/>
    </row>
    <row r="856">
      <c r="I856" s="234"/>
      <c r="J856" s="234"/>
      <c r="K856" s="234"/>
      <c r="L856" s="234"/>
      <c r="M856" s="234"/>
    </row>
    <row r="857">
      <c r="I857" s="234"/>
      <c r="J857" s="234"/>
      <c r="K857" s="234"/>
      <c r="L857" s="234"/>
      <c r="M857" s="234"/>
    </row>
    <row r="858">
      <c r="I858" s="234"/>
      <c r="J858" s="234"/>
      <c r="K858" s="234"/>
      <c r="L858" s="234"/>
      <c r="M858" s="234"/>
    </row>
    <row r="859">
      <c r="I859" s="234"/>
      <c r="J859" s="234"/>
      <c r="K859" s="234"/>
      <c r="L859" s="234"/>
      <c r="M859" s="234"/>
    </row>
    <row r="860">
      <c r="I860" s="234"/>
      <c r="J860" s="234"/>
      <c r="K860" s="234"/>
      <c r="L860" s="234"/>
      <c r="M860" s="234"/>
    </row>
    <row r="861">
      <c r="I861" s="234"/>
      <c r="J861" s="234"/>
      <c r="K861" s="234"/>
      <c r="L861" s="234"/>
      <c r="M861" s="234"/>
    </row>
    <row r="862">
      <c r="I862" s="234"/>
      <c r="J862" s="234"/>
      <c r="K862" s="234"/>
      <c r="L862" s="234"/>
      <c r="M862" s="234"/>
    </row>
    <row r="863">
      <c r="I863" s="234"/>
      <c r="J863" s="234"/>
      <c r="K863" s="234"/>
      <c r="L863" s="234"/>
      <c r="M863" s="234"/>
    </row>
    <row r="864">
      <c r="I864" s="234"/>
      <c r="J864" s="234"/>
      <c r="K864" s="234"/>
      <c r="L864" s="234"/>
      <c r="M864" s="234"/>
    </row>
    <row r="865">
      <c r="I865" s="234"/>
      <c r="J865" s="234"/>
      <c r="K865" s="234"/>
      <c r="L865" s="234"/>
      <c r="M865" s="234"/>
    </row>
    <row r="866">
      <c r="I866" s="234"/>
      <c r="J866" s="234"/>
      <c r="K866" s="234"/>
      <c r="L866" s="234"/>
      <c r="M866" s="234"/>
    </row>
    <row r="867">
      <c r="I867" s="234"/>
      <c r="J867" s="234"/>
      <c r="K867" s="234"/>
      <c r="L867" s="234"/>
      <c r="M867" s="234"/>
    </row>
    <row r="868">
      <c r="I868" s="234"/>
      <c r="J868" s="234"/>
      <c r="K868" s="234"/>
      <c r="L868" s="234"/>
      <c r="M868" s="234"/>
    </row>
    <row r="869">
      <c r="I869" s="234"/>
      <c r="J869" s="234"/>
      <c r="K869" s="234"/>
      <c r="L869" s="234"/>
      <c r="M869" s="234"/>
    </row>
    <row r="870">
      <c r="I870" s="234"/>
      <c r="J870" s="234"/>
      <c r="K870" s="234"/>
      <c r="L870" s="234"/>
      <c r="M870" s="234"/>
    </row>
    <row r="871">
      <c r="I871" s="234"/>
      <c r="J871" s="234"/>
      <c r="K871" s="234"/>
      <c r="L871" s="234"/>
      <c r="M871" s="234"/>
    </row>
    <row r="872">
      <c r="I872" s="234"/>
      <c r="J872" s="234"/>
      <c r="K872" s="234"/>
      <c r="L872" s="234"/>
      <c r="M872" s="234"/>
    </row>
    <row r="873">
      <c r="I873" s="234"/>
      <c r="J873" s="234"/>
      <c r="K873" s="234"/>
      <c r="L873" s="234"/>
      <c r="M873" s="234"/>
    </row>
    <row r="874">
      <c r="I874" s="234"/>
      <c r="J874" s="234"/>
      <c r="K874" s="234"/>
      <c r="L874" s="234"/>
      <c r="M874" s="234"/>
    </row>
    <row r="875">
      <c r="I875" s="234"/>
      <c r="J875" s="234"/>
      <c r="K875" s="234"/>
      <c r="L875" s="234"/>
      <c r="M875" s="234"/>
    </row>
    <row r="876">
      <c r="I876" s="234"/>
      <c r="J876" s="234"/>
      <c r="K876" s="234"/>
      <c r="L876" s="234"/>
      <c r="M876" s="234"/>
    </row>
    <row r="877">
      <c r="I877" s="234"/>
      <c r="J877" s="234"/>
      <c r="K877" s="234"/>
      <c r="L877" s="234"/>
      <c r="M877" s="234"/>
    </row>
    <row r="878">
      <c r="I878" s="234"/>
      <c r="J878" s="234"/>
      <c r="K878" s="234"/>
      <c r="L878" s="234"/>
      <c r="M878" s="234"/>
    </row>
    <row r="879">
      <c r="I879" s="234"/>
      <c r="J879" s="234"/>
      <c r="K879" s="234"/>
      <c r="L879" s="234"/>
      <c r="M879" s="234"/>
    </row>
    <row r="880">
      <c r="I880" s="234"/>
      <c r="J880" s="234"/>
      <c r="K880" s="234"/>
      <c r="L880" s="234"/>
      <c r="M880" s="234"/>
    </row>
    <row r="881">
      <c r="I881" s="234"/>
      <c r="J881" s="234"/>
      <c r="K881" s="234"/>
      <c r="L881" s="234"/>
      <c r="M881" s="234"/>
    </row>
    <row r="882">
      <c r="I882" s="234"/>
      <c r="J882" s="234"/>
      <c r="K882" s="234"/>
      <c r="L882" s="234"/>
      <c r="M882" s="234"/>
    </row>
    <row r="883">
      <c r="I883" s="234"/>
      <c r="J883" s="234"/>
      <c r="K883" s="234"/>
      <c r="L883" s="234"/>
      <c r="M883" s="234"/>
    </row>
    <row r="884">
      <c r="I884" s="234"/>
      <c r="J884" s="234"/>
      <c r="K884" s="234"/>
      <c r="L884" s="234"/>
      <c r="M884" s="234"/>
    </row>
    <row r="885">
      <c r="I885" s="234"/>
      <c r="J885" s="234"/>
      <c r="K885" s="234"/>
      <c r="L885" s="234"/>
      <c r="M885" s="234"/>
    </row>
    <row r="886">
      <c r="I886" s="234"/>
      <c r="J886" s="234"/>
      <c r="K886" s="234"/>
      <c r="L886" s="234"/>
      <c r="M886" s="234"/>
    </row>
    <row r="887">
      <c r="I887" s="234"/>
      <c r="J887" s="234"/>
      <c r="K887" s="234"/>
      <c r="L887" s="234"/>
      <c r="M887" s="234"/>
    </row>
    <row r="888">
      <c r="I888" s="234"/>
      <c r="J888" s="234"/>
      <c r="K888" s="234"/>
      <c r="L888" s="234"/>
      <c r="M888" s="234"/>
    </row>
    <row r="889">
      <c r="I889" s="234"/>
      <c r="J889" s="234"/>
      <c r="K889" s="234"/>
      <c r="L889" s="234"/>
      <c r="M889" s="234"/>
    </row>
    <row r="890">
      <c r="I890" s="234"/>
      <c r="J890" s="234"/>
      <c r="K890" s="234"/>
      <c r="L890" s="234"/>
      <c r="M890" s="234"/>
    </row>
    <row r="891">
      <c r="I891" s="234"/>
      <c r="J891" s="234"/>
      <c r="K891" s="234"/>
      <c r="L891" s="234"/>
      <c r="M891" s="234"/>
    </row>
    <row r="892">
      <c r="I892" s="234"/>
      <c r="J892" s="234"/>
      <c r="K892" s="234"/>
      <c r="L892" s="234"/>
      <c r="M892" s="234"/>
    </row>
    <row r="893">
      <c r="I893" s="234"/>
      <c r="J893" s="234"/>
      <c r="K893" s="234"/>
      <c r="L893" s="234"/>
      <c r="M893" s="234"/>
    </row>
    <row r="894">
      <c r="I894" s="234"/>
      <c r="J894" s="234"/>
      <c r="K894" s="234"/>
      <c r="L894" s="234"/>
      <c r="M894" s="234"/>
    </row>
    <row r="895">
      <c r="I895" s="234"/>
      <c r="J895" s="234"/>
      <c r="K895" s="234"/>
      <c r="L895" s="234"/>
      <c r="M895" s="234"/>
    </row>
    <row r="896">
      <c r="I896" s="234"/>
      <c r="J896" s="234"/>
      <c r="K896" s="234"/>
      <c r="L896" s="234"/>
      <c r="M896" s="234"/>
    </row>
    <row r="897">
      <c r="I897" s="234"/>
      <c r="J897" s="234"/>
      <c r="K897" s="234"/>
      <c r="L897" s="234"/>
      <c r="M897" s="234"/>
    </row>
    <row r="898">
      <c r="I898" s="234"/>
      <c r="J898" s="234"/>
      <c r="K898" s="234"/>
      <c r="L898" s="234"/>
      <c r="M898" s="234"/>
    </row>
    <row r="899">
      <c r="I899" s="234"/>
      <c r="J899" s="234"/>
      <c r="K899" s="234"/>
      <c r="L899" s="234"/>
      <c r="M899" s="234"/>
    </row>
    <row r="900">
      <c r="I900" s="234"/>
      <c r="J900" s="234"/>
      <c r="K900" s="234"/>
      <c r="L900" s="234"/>
      <c r="M900" s="234"/>
    </row>
    <row r="901">
      <c r="I901" s="234"/>
      <c r="J901" s="234"/>
      <c r="K901" s="234"/>
      <c r="L901" s="234"/>
      <c r="M901" s="234"/>
    </row>
    <row r="902">
      <c r="I902" s="234"/>
      <c r="J902" s="234"/>
      <c r="K902" s="234"/>
      <c r="L902" s="234"/>
      <c r="M902" s="234"/>
    </row>
    <row r="903">
      <c r="I903" s="234"/>
      <c r="J903" s="234"/>
      <c r="K903" s="234"/>
      <c r="L903" s="234"/>
      <c r="M903" s="234"/>
    </row>
    <row r="904">
      <c r="I904" s="234"/>
      <c r="J904" s="234"/>
      <c r="K904" s="234"/>
      <c r="L904" s="234"/>
      <c r="M904" s="234"/>
    </row>
    <row r="905">
      <c r="I905" s="234"/>
      <c r="J905" s="234"/>
      <c r="K905" s="234"/>
      <c r="L905" s="234"/>
      <c r="M905" s="234"/>
    </row>
    <row r="906">
      <c r="I906" s="234"/>
      <c r="J906" s="234"/>
      <c r="K906" s="234"/>
      <c r="L906" s="234"/>
      <c r="M906" s="234"/>
    </row>
    <row r="907">
      <c r="I907" s="234"/>
      <c r="J907" s="234"/>
      <c r="K907" s="234"/>
      <c r="L907" s="234"/>
      <c r="M907" s="234"/>
    </row>
    <row r="908">
      <c r="I908" s="234"/>
      <c r="J908" s="234"/>
      <c r="K908" s="234"/>
      <c r="L908" s="234"/>
      <c r="M908" s="234"/>
    </row>
    <row r="909">
      <c r="I909" s="234"/>
      <c r="J909" s="234"/>
      <c r="K909" s="234"/>
      <c r="L909" s="234"/>
      <c r="M909" s="234"/>
    </row>
    <row r="910">
      <c r="I910" s="234"/>
      <c r="J910" s="234"/>
      <c r="K910" s="234"/>
      <c r="L910" s="234"/>
      <c r="M910" s="234"/>
    </row>
    <row r="911">
      <c r="I911" s="234"/>
      <c r="J911" s="234"/>
      <c r="K911" s="234"/>
      <c r="L911" s="234"/>
      <c r="M911" s="234"/>
    </row>
    <row r="912">
      <c r="I912" s="234"/>
      <c r="J912" s="234"/>
      <c r="K912" s="234"/>
      <c r="L912" s="234"/>
      <c r="M912" s="234"/>
    </row>
    <row r="913">
      <c r="I913" s="234"/>
      <c r="J913" s="234"/>
      <c r="K913" s="234"/>
      <c r="L913" s="234"/>
      <c r="M913" s="234"/>
    </row>
    <row r="914">
      <c r="I914" s="234"/>
      <c r="J914" s="234"/>
      <c r="K914" s="234"/>
      <c r="L914" s="234"/>
      <c r="M914" s="234"/>
    </row>
    <row r="915">
      <c r="I915" s="234"/>
      <c r="J915" s="234"/>
      <c r="K915" s="234"/>
      <c r="L915" s="234"/>
      <c r="M915" s="234"/>
    </row>
    <row r="916">
      <c r="I916" s="234"/>
      <c r="J916" s="234"/>
      <c r="K916" s="234"/>
      <c r="L916" s="234"/>
      <c r="M916" s="234"/>
    </row>
    <row r="917">
      <c r="I917" s="234"/>
      <c r="J917" s="234"/>
      <c r="K917" s="234"/>
      <c r="L917" s="234"/>
      <c r="M917" s="234"/>
    </row>
    <row r="918">
      <c r="I918" s="234"/>
      <c r="J918" s="234"/>
      <c r="K918" s="234"/>
      <c r="L918" s="234"/>
      <c r="M918" s="234"/>
    </row>
    <row r="919">
      <c r="I919" s="234"/>
      <c r="J919" s="234"/>
      <c r="K919" s="234"/>
      <c r="L919" s="234"/>
      <c r="M919" s="234"/>
    </row>
    <row r="920">
      <c r="I920" s="234"/>
      <c r="J920" s="234"/>
      <c r="K920" s="234"/>
      <c r="L920" s="234"/>
      <c r="M920" s="234"/>
    </row>
    <row r="921">
      <c r="I921" s="234"/>
      <c r="J921" s="234"/>
      <c r="K921" s="234"/>
      <c r="L921" s="234"/>
      <c r="M921" s="234"/>
    </row>
    <row r="922">
      <c r="I922" s="234"/>
      <c r="J922" s="234"/>
      <c r="K922" s="234"/>
      <c r="L922" s="234"/>
      <c r="M922" s="234"/>
    </row>
    <row r="923">
      <c r="I923" s="234"/>
      <c r="J923" s="234"/>
      <c r="K923" s="234"/>
      <c r="L923" s="234"/>
      <c r="M923" s="234"/>
    </row>
    <row r="924">
      <c r="I924" s="234"/>
      <c r="J924" s="234"/>
      <c r="K924" s="234"/>
      <c r="L924" s="234"/>
      <c r="M924" s="234"/>
    </row>
    <row r="925">
      <c r="I925" s="234"/>
      <c r="J925" s="234"/>
      <c r="K925" s="234"/>
      <c r="L925" s="234"/>
      <c r="M925" s="234"/>
    </row>
    <row r="926">
      <c r="I926" s="234"/>
      <c r="J926" s="234"/>
      <c r="K926" s="234"/>
      <c r="L926" s="234"/>
      <c r="M926" s="234"/>
    </row>
    <row r="927">
      <c r="I927" s="234"/>
      <c r="J927" s="234"/>
      <c r="K927" s="234"/>
      <c r="L927" s="234"/>
      <c r="M927" s="234"/>
    </row>
    <row r="928">
      <c r="I928" s="234"/>
      <c r="J928" s="234"/>
      <c r="K928" s="234"/>
      <c r="L928" s="234"/>
      <c r="M928" s="234"/>
    </row>
    <row r="929">
      <c r="I929" s="234"/>
      <c r="J929" s="234"/>
      <c r="K929" s="234"/>
      <c r="L929" s="234"/>
      <c r="M929" s="234"/>
    </row>
    <row r="930">
      <c r="I930" s="234"/>
      <c r="J930" s="234"/>
      <c r="K930" s="234"/>
      <c r="L930" s="234"/>
      <c r="M930" s="234"/>
    </row>
    <row r="931">
      <c r="I931" s="234"/>
      <c r="J931" s="234"/>
      <c r="K931" s="234"/>
      <c r="L931" s="234"/>
      <c r="M931" s="234"/>
    </row>
    <row r="932">
      <c r="I932" s="234"/>
      <c r="J932" s="234"/>
      <c r="K932" s="234"/>
      <c r="L932" s="234"/>
      <c r="M932" s="234"/>
    </row>
    <row r="933">
      <c r="I933" s="234"/>
      <c r="J933" s="234"/>
      <c r="K933" s="234"/>
      <c r="L933" s="234"/>
      <c r="M933" s="234"/>
    </row>
    <row r="934">
      <c r="I934" s="234"/>
      <c r="J934" s="234"/>
      <c r="K934" s="234"/>
      <c r="L934" s="234"/>
      <c r="M934" s="234"/>
    </row>
    <row r="935">
      <c r="I935" s="234"/>
      <c r="J935" s="234"/>
      <c r="K935" s="234"/>
      <c r="L935" s="234"/>
      <c r="M935" s="234"/>
    </row>
    <row r="936">
      <c r="I936" s="234"/>
      <c r="J936" s="234"/>
      <c r="K936" s="234"/>
      <c r="L936" s="234"/>
      <c r="M936" s="234"/>
    </row>
    <row r="937">
      <c r="I937" s="234"/>
      <c r="J937" s="234"/>
      <c r="K937" s="234"/>
      <c r="L937" s="234"/>
      <c r="M937" s="234"/>
    </row>
    <row r="938">
      <c r="I938" s="234"/>
      <c r="J938" s="234"/>
      <c r="K938" s="234"/>
      <c r="L938" s="234"/>
      <c r="M938" s="234"/>
    </row>
    <row r="939">
      <c r="I939" s="234"/>
      <c r="J939" s="234"/>
      <c r="K939" s="234"/>
      <c r="L939" s="234"/>
      <c r="M939" s="234"/>
    </row>
    <row r="940">
      <c r="I940" s="234"/>
      <c r="J940" s="234"/>
      <c r="K940" s="234"/>
      <c r="L940" s="234"/>
      <c r="M940" s="234"/>
    </row>
    <row r="941">
      <c r="I941" s="234"/>
      <c r="J941" s="234"/>
      <c r="K941" s="234"/>
      <c r="L941" s="234"/>
      <c r="M941" s="234"/>
    </row>
    <row r="942">
      <c r="I942" s="234"/>
      <c r="J942" s="234"/>
      <c r="K942" s="234"/>
      <c r="L942" s="234"/>
      <c r="M942" s="234"/>
    </row>
    <row r="943">
      <c r="I943" s="234"/>
      <c r="J943" s="234"/>
      <c r="K943" s="234"/>
      <c r="L943" s="234"/>
      <c r="M943" s="234"/>
    </row>
    <row r="944">
      <c r="I944" s="234"/>
      <c r="J944" s="234"/>
      <c r="K944" s="234"/>
      <c r="L944" s="234"/>
      <c r="M944" s="234"/>
    </row>
    <row r="945">
      <c r="I945" s="234"/>
      <c r="J945" s="234"/>
      <c r="K945" s="234"/>
      <c r="L945" s="234"/>
      <c r="M945" s="234"/>
    </row>
    <row r="946">
      <c r="I946" s="234"/>
      <c r="J946" s="234"/>
      <c r="K946" s="234"/>
      <c r="L946" s="234"/>
      <c r="M946" s="234"/>
    </row>
    <row r="947">
      <c r="I947" s="234"/>
      <c r="J947" s="234"/>
      <c r="K947" s="234"/>
      <c r="L947" s="234"/>
      <c r="M947" s="234"/>
    </row>
    <row r="948">
      <c r="I948" s="234"/>
      <c r="J948" s="234"/>
      <c r="K948" s="234"/>
      <c r="L948" s="234"/>
      <c r="M948" s="234"/>
    </row>
    <row r="949">
      <c r="I949" s="234"/>
      <c r="J949" s="234"/>
      <c r="K949" s="234"/>
      <c r="L949" s="234"/>
      <c r="M949" s="234"/>
    </row>
    <row r="950">
      <c r="I950" s="234"/>
      <c r="J950" s="234"/>
      <c r="K950" s="234"/>
      <c r="L950" s="234"/>
      <c r="M950" s="234"/>
    </row>
    <row r="951">
      <c r="I951" s="234"/>
      <c r="J951" s="234"/>
      <c r="K951" s="234"/>
      <c r="L951" s="234"/>
      <c r="M951" s="234"/>
    </row>
    <row r="952">
      <c r="I952" s="234"/>
      <c r="J952" s="234"/>
      <c r="K952" s="234"/>
      <c r="L952" s="234"/>
      <c r="M952" s="234"/>
    </row>
    <row r="953">
      <c r="I953" s="234"/>
      <c r="J953" s="234"/>
      <c r="K953" s="234"/>
      <c r="L953" s="234"/>
      <c r="M953" s="234"/>
    </row>
    <row r="954">
      <c r="I954" s="234"/>
      <c r="J954" s="234"/>
      <c r="K954" s="234"/>
      <c r="L954" s="234"/>
      <c r="M954" s="234"/>
    </row>
    <row r="955">
      <c r="I955" s="234"/>
      <c r="J955" s="234"/>
      <c r="K955" s="234"/>
      <c r="L955" s="234"/>
      <c r="M955" s="234"/>
    </row>
    <row r="956">
      <c r="I956" s="234"/>
      <c r="J956" s="234"/>
      <c r="K956" s="234"/>
      <c r="L956" s="234"/>
      <c r="M956" s="234"/>
    </row>
    <row r="957">
      <c r="I957" s="234"/>
      <c r="J957" s="234"/>
      <c r="K957" s="234"/>
      <c r="L957" s="234"/>
      <c r="M957" s="234"/>
    </row>
    <row r="958">
      <c r="I958" s="234"/>
      <c r="J958" s="234"/>
      <c r="K958" s="234"/>
      <c r="L958" s="234"/>
      <c r="M958" s="234"/>
    </row>
    <row r="959">
      <c r="I959" s="234"/>
      <c r="J959" s="234"/>
      <c r="K959" s="234"/>
      <c r="L959" s="234"/>
      <c r="M959" s="234"/>
    </row>
    <row r="960">
      <c r="I960" s="234"/>
      <c r="J960" s="234"/>
      <c r="K960" s="234"/>
      <c r="L960" s="234"/>
      <c r="M960" s="234"/>
    </row>
    <row r="961">
      <c r="I961" s="234"/>
      <c r="J961" s="234"/>
      <c r="K961" s="234"/>
      <c r="L961" s="234"/>
      <c r="M961" s="234"/>
    </row>
    <row r="962">
      <c r="I962" s="234"/>
      <c r="J962" s="234"/>
      <c r="K962" s="234"/>
      <c r="L962" s="234"/>
      <c r="M962" s="234"/>
    </row>
    <row r="963">
      <c r="I963" s="234"/>
      <c r="J963" s="234"/>
      <c r="K963" s="234"/>
      <c r="L963" s="234"/>
      <c r="M963" s="234"/>
    </row>
    <row r="964">
      <c r="I964" s="234"/>
      <c r="J964" s="234"/>
      <c r="K964" s="234"/>
      <c r="L964" s="234"/>
      <c r="M964" s="234"/>
    </row>
    <row r="965">
      <c r="I965" s="234"/>
      <c r="J965" s="234"/>
      <c r="K965" s="234"/>
      <c r="L965" s="234"/>
      <c r="M965" s="234"/>
    </row>
    <row r="966">
      <c r="I966" s="234"/>
      <c r="J966" s="234"/>
      <c r="K966" s="234"/>
      <c r="L966" s="234"/>
      <c r="M966" s="234"/>
    </row>
    <row r="967">
      <c r="I967" s="234"/>
      <c r="J967" s="234"/>
      <c r="K967" s="234"/>
      <c r="L967" s="234"/>
      <c r="M967" s="234"/>
    </row>
    <row r="968">
      <c r="I968" s="234"/>
      <c r="J968" s="234"/>
      <c r="K968" s="234"/>
      <c r="L968" s="234"/>
      <c r="M968" s="234"/>
    </row>
    <row r="969">
      <c r="I969" s="234"/>
      <c r="J969" s="234"/>
      <c r="K969" s="234"/>
      <c r="L969" s="234"/>
      <c r="M969" s="234"/>
    </row>
    <row r="970">
      <c r="I970" s="234"/>
      <c r="J970" s="234"/>
      <c r="K970" s="234"/>
      <c r="L970" s="234"/>
      <c r="M970" s="234"/>
    </row>
    <row r="971">
      <c r="I971" s="234"/>
      <c r="J971" s="234"/>
      <c r="K971" s="234"/>
      <c r="L971" s="234"/>
      <c r="M971" s="234"/>
    </row>
    <row r="972">
      <c r="I972" s="234"/>
      <c r="J972" s="234"/>
      <c r="K972" s="234"/>
      <c r="L972" s="234"/>
      <c r="M972" s="234"/>
    </row>
    <row r="973">
      <c r="I973" s="234"/>
      <c r="J973" s="234"/>
      <c r="K973" s="234"/>
      <c r="L973" s="234"/>
      <c r="M973" s="234"/>
    </row>
    <row r="974">
      <c r="I974" s="234"/>
      <c r="J974" s="234"/>
      <c r="K974" s="234"/>
      <c r="L974" s="234"/>
      <c r="M974" s="234"/>
    </row>
    <row r="975">
      <c r="I975" s="234"/>
      <c r="J975" s="234"/>
      <c r="K975" s="234"/>
      <c r="L975" s="234"/>
      <c r="M975" s="234"/>
    </row>
    <row r="976">
      <c r="I976" s="234"/>
      <c r="J976" s="234"/>
      <c r="K976" s="234"/>
      <c r="L976" s="234"/>
      <c r="M976" s="234"/>
    </row>
    <row r="977">
      <c r="I977" s="234"/>
      <c r="J977" s="234"/>
      <c r="K977" s="234"/>
      <c r="L977" s="234"/>
      <c r="M977" s="234"/>
    </row>
    <row r="978">
      <c r="I978" s="234"/>
      <c r="J978" s="234"/>
      <c r="K978" s="234"/>
      <c r="L978" s="234"/>
      <c r="M978" s="234"/>
    </row>
    <row r="979">
      <c r="I979" s="234"/>
      <c r="J979" s="234"/>
      <c r="K979" s="234"/>
      <c r="L979" s="234"/>
      <c r="M979" s="234"/>
    </row>
    <row r="980">
      <c r="I980" s="234"/>
      <c r="J980" s="234"/>
      <c r="K980" s="234"/>
      <c r="L980" s="234"/>
      <c r="M980" s="234"/>
    </row>
    <row r="981">
      <c r="I981" s="234"/>
      <c r="J981" s="234"/>
      <c r="K981" s="234"/>
      <c r="L981" s="234"/>
      <c r="M981" s="234"/>
    </row>
    <row r="982">
      <c r="I982" s="234"/>
      <c r="J982" s="234"/>
      <c r="K982" s="234"/>
      <c r="L982" s="234"/>
      <c r="M982" s="234"/>
    </row>
    <row r="983">
      <c r="I983" s="234"/>
      <c r="J983" s="234"/>
      <c r="K983" s="234"/>
      <c r="L983" s="234"/>
      <c r="M983" s="234"/>
    </row>
    <row r="984">
      <c r="I984" s="234"/>
      <c r="J984" s="234"/>
      <c r="K984" s="234"/>
      <c r="L984" s="234"/>
      <c r="M984" s="234"/>
    </row>
    <row r="985">
      <c r="I985" s="234"/>
      <c r="J985" s="234"/>
      <c r="K985" s="234"/>
      <c r="L985" s="234"/>
      <c r="M985" s="234"/>
    </row>
    <row r="986">
      <c r="I986" s="234"/>
      <c r="J986" s="234"/>
      <c r="K986" s="234"/>
      <c r="L986" s="234"/>
      <c r="M986" s="234"/>
    </row>
    <row r="987">
      <c r="I987" s="234"/>
      <c r="J987" s="234"/>
      <c r="K987" s="234"/>
      <c r="L987" s="234"/>
      <c r="M987" s="234"/>
    </row>
    <row r="988">
      <c r="I988" s="234"/>
      <c r="J988" s="234"/>
      <c r="K988" s="234"/>
      <c r="L988" s="234"/>
      <c r="M988" s="234"/>
    </row>
    <row r="989">
      <c r="I989" s="234"/>
      <c r="J989" s="234"/>
      <c r="K989" s="234"/>
      <c r="L989" s="234"/>
      <c r="M989" s="234"/>
    </row>
    <row r="990">
      <c r="I990" s="234"/>
      <c r="J990" s="234"/>
      <c r="K990" s="234"/>
      <c r="L990" s="234"/>
      <c r="M990" s="234"/>
    </row>
    <row r="991">
      <c r="I991" s="234"/>
      <c r="J991" s="234"/>
      <c r="K991" s="234"/>
      <c r="L991" s="234"/>
      <c r="M991" s="234"/>
    </row>
    <row r="992">
      <c r="I992" s="234"/>
      <c r="J992" s="234"/>
      <c r="K992" s="234"/>
      <c r="L992" s="234"/>
      <c r="M992" s="234"/>
    </row>
    <row r="993">
      <c r="I993" s="234"/>
      <c r="J993" s="234"/>
      <c r="K993" s="234"/>
      <c r="L993" s="234"/>
      <c r="M993" s="234"/>
    </row>
    <row r="994">
      <c r="I994" s="234"/>
      <c r="J994" s="234"/>
      <c r="K994" s="234"/>
      <c r="L994" s="234"/>
      <c r="M994" s="234"/>
    </row>
    <row r="995">
      <c r="I995" s="234"/>
      <c r="J995" s="234"/>
      <c r="K995" s="234"/>
      <c r="L995" s="234"/>
      <c r="M995" s="234"/>
    </row>
    <row r="996">
      <c r="I996" s="234"/>
      <c r="J996" s="234"/>
      <c r="K996" s="234"/>
      <c r="L996" s="234"/>
      <c r="M996" s="234"/>
    </row>
    <row r="997">
      <c r="I997" s="234"/>
      <c r="J997" s="234"/>
      <c r="K997" s="234"/>
      <c r="L997" s="234"/>
      <c r="M997" s="234"/>
    </row>
    <row r="998">
      <c r="I998" s="234"/>
      <c r="J998" s="234"/>
      <c r="K998" s="234"/>
      <c r="L998" s="234"/>
      <c r="M998" s="234"/>
    </row>
  </sheetData>
  <mergeCells count="4">
    <mergeCell ref="A1:T1"/>
    <mergeCell ref="A14:T14"/>
    <mergeCell ref="A31:T31"/>
    <mergeCell ref="A46:T46"/>
  </mergeCells>
  <conditionalFormatting sqref="V2:AC998">
    <cfRule type="expression" dxfId="2" priority="1">
      <formula>$X2="Parker"</formula>
    </cfRule>
  </conditionalFormatting>
  <conditionalFormatting sqref="V2:AC998">
    <cfRule type="expression" dxfId="3" priority="2">
      <formula>$X2="Giacomo"</formula>
    </cfRule>
  </conditionalFormatting>
  <conditionalFormatting sqref="V2:AC998">
    <cfRule type="expression" dxfId="1" priority="3">
      <formula>$X2="Logan"</formula>
    </cfRule>
  </conditionalFormatting>
  <conditionalFormatting sqref="V2:AC998">
    <cfRule type="expression" dxfId="4" priority="4">
      <formula>$X2="Rosey"</formula>
    </cfRule>
  </conditionalFormatting>
  <conditionalFormatting sqref="V2:AC998">
    <cfRule type="expression" dxfId="5" priority="5">
      <formula>$X2="TTAC"</formula>
    </cfRule>
  </conditionalFormatting>
  <conditionalFormatting sqref="V2:AC998">
    <cfRule type="expression" dxfId="6" priority="6">
      <formula>$X2="Weston"</formula>
    </cfRule>
  </conditionalFormatting>
  <conditionalFormatting sqref="V2:AC998">
    <cfRule type="expression" dxfId="7" priority="7">
      <formula>$X2="Jake"</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12.71"/>
    <col customWidth="1" hidden="1" min="2" max="3" width="3.14"/>
    <col customWidth="1" min="4" max="9" width="2.71"/>
    <col customWidth="1" hidden="1" min="10" max="10" width="2.71"/>
    <col customWidth="1" min="11" max="11" width="25.29"/>
    <col customWidth="1" min="12" max="12" width="7.43"/>
    <col customWidth="1" min="13" max="13" width="25.29"/>
    <col customWidth="1" min="14" max="14" width="7.43"/>
    <col customWidth="1" min="15" max="15" width="30.86"/>
    <col customWidth="1" hidden="1" min="16" max="16" width="2.71"/>
    <col customWidth="1" min="17" max="22" width="2.71"/>
    <col customWidth="1" min="24" max="24" width="7.86"/>
    <col customWidth="1" min="26" max="26" width="8.71"/>
    <col customWidth="1" min="27" max="27" width="8.0"/>
    <col customWidth="1" min="28" max="28" width="6.57"/>
    <col customWidth="1" min="29" max="29" width="9.71"/>
    <col customWidth="1" min="30" max="30" width="30.86"/>
    <col customWidth="1" min="31" max="31" width="35.29"/>
  </cols>
  <sheetData>
    <row r="1">
      <c r="A1" s="356">
        <v>2025.0</v>
      </c>
      <c r="X1" s="262" t="s">
        <v>367</v>
      </c>
      <c r="Y1" s="262" t="s">
        <v>19</v>
      </c>
      <c r="Z1" s="262" t="s">
        <v>16</v>
      </c>
      <c r="AA1" s="357" t="s">
        <v>75</v>
      </c>
      <c r="AB1" s="262" t="s">
        <v>76</v>
      </c>
      <c r="AC1" s="262" t="s">
        <v>78</v>
      </c>
      <c r="AD1" s="262" t="s">
        <v>368</v>
      </c>
      <c r="AE1" s="262" t="s">
        <v>82</v>
      </c>
    </row>
    <row r="2">
      <c r="A2" s="356" t="s">
        <v>369</v>
      </c>
      <c r="B2" s="356" t="s">
        <v>534</v>
      </c>
      <c r="C2" s="356" t="s">
        <v>535</v>
      </c>
      <c r="D2" s="356" t="s">
        <v>370</v>
      </c>
      <c r="E2" s="356" t="s">
        <v>371</v>
      </c>
      <c r="F2" s="356" t="s">
        <v>372</v>
      </c>
      <c r="G2" s="356" t="s">
        <v>373</v>
      </c>
      <c r="H2" s="356" t="s">
        <v>374</v>
      </c>
      <c r="I2" s="356" t="s">
        <v>51</v>
      </c>
      <c r="J2" s="356" t="s">
        <v>412</v>
      </c>
      <c r="K2" s="356" t="s">
        <v>376</v>
      </c>
      <c r="L2" s="356" t="s">
        <v>377</v>
      </c>
      <c r="M2" s="356" t="s">
        <v>21</v>
      </c>
      <c r="N2" s="356" t="s">
        <v>378</v>
      </c>
      <c r="O2" s="356" t="s">
        <v>379</v>
      </c>
      <c r="P2" s="356" t="s">
        <v>412</v>
      </c>
      <c r="Q2" s="356" t="s">
        <v>51</v>
      </c>
      <c r="R2" s="356" t="s">
        <v>374</v>
      </c>
      <c r="S2" s="356" t="s">
        <v>373</v>
      </c>
      <c r="T2" s="356" t="s">
        <v>372</v>
      </c>
      <c r="U2" s="356" t="s">
        <v>371</v>
      </c>
      <c r="V2" s="356" t="s">
        <v>370</v>
      </c>
      <c r="X2" s="298">
        <f t="shared" ref="X2:X51" si="1">RANK(AA2,$AA$2:AA1000,1) + COUNTIFS($AA$2:AA1000, AA2, $AC$2:AC1000, "&lt;" &amp; AC2) + COUNTIFS($AA$2:AA1000, AA2, $AC$2:AC1000, AC2, $AB$2:AB1000, "&lt;" &amp; AB2)+COUNTIFS($AA$2:AA1000, AA2, $AC$2:AC1000, AC2, $AB$2:AB1000, AB2, $Y$2:Y1000, "&lt;" &amp; Y2) </f>
        <v>8</v>
      </c>
      <c r="Y2" s="264">
        <f>IFERROR(__xludf.DUMMYFUNCTION("FILTER(Rankings!D:J, Rankings!D:D &lt;= DATE(2025,12,31),Rankings!U:U = TRUE)"),45908.0)</f>
        <v>45908</v>
      </c>
      <c r="Z2" s="265" t="str">
        <f>IFERROR(__xludf.DUMMYFUNCTION("""COMPUTED_VALUE"""),"Parker")</f>
        <v>Parker</v>
      </c>
      <c r="AA2" s="266">
        <f>IFERROR(__xludf.DUMMYFUNCTION("""COMPUTED_VALUE"""),2.142857142857143)</f>
        <v>2.142857143</v>
      </c>
      <c r="AB2" s="266">
        <f>IFERROR(__xludf.DUMMYFUNCTION("""COMPUTED_VALUE"""),0.6388765649999398)</f>
        <v>0.638876565</v>
      </c>
      <c r="AC2" s="266">
        <f>IFERROR(__xludf.DUMMYFUNCTION("""COMPUTED_VALUE"""),2.1666666666666665)</f>
        <v>2.166666667</v>
      </c>
      <c r="AD2" s="265" t="str">
        <f>IFERROR(__xludf.DUMMYFUNCTION("""COMPUTED_VALUE"""),"Send it Back")</f>
        <v>Send it Back</v>
      </c>
      <c r="AE2" s="267" t="str">
        <f>IFERROR(__xludf.DUMMYFUNCTION("""COMPUTED_VALUE"""),"Don West")</f>
        <v>Don West</v>
      </c>
    </row>
    <row r="3">
      <c r="A3" s="359" t="s">
        <v>380</v>
      </c>
      <c r="B3" s="359" t="s">
        <v>381</v>
      </c>
      <c r="C3" s="359" t="s">
        <v>381</v>
      </c>
      <c r="D3" s="360"/>
      <c r="E3" s="361" t="s">
        <v>381</v>
      </c>
      <c r="F3" s="362"/>
      <c r="G3" s="363"/>
      <c r="H3" s="364" t="s">
        <v>382</v>
      </c>
      <c r="I3" s="365" t="s">
        <v>381</v>
      </c>
      <c r="J3" s="366"/>
      <c r="K3" s="367" t="str">
        <f>M4</f>
        <v>Send it Back</v>
      </c>
      <c r="L3" s="368">
        <f t="shared" ref="L3:L51" si="2">COUNTIF(D3:J3,"x")</f>
        <v>3</v>
      </c>
      <c r="M3" s="367" t="str">
        <f t="shared" ref="M3:M4" si="3">IF(L3&gt;=3,K3,IF(N3&gt;=4,O3,"TBD"))</f>
        <v>Send it Back</v>
      </c>
      <c r="N3" s="368">
        <f t="shared" ref="N3:N51" si="4">COUNTIF(P3:V3,"x")</f>
        <v>3</v>
      </c>
      <c r="O3" s="367" t="str">
        <f>M5</f>
        <v>Image</v>
      </c>
      <c r="P3" s="366"/>
      <c r="Q3" s="369"/>
      <c r="R3" s="370"/>
      <c r="S3" s="371" t="s">
        <v>382</v>
      </c>
      <c r="T3" s="372" t="s">
        <v>381</v>
      </c>
      <c r="U3" s="361"/>
      <c r="V3" s="373" t="s">
        <v>381</v>
      </c>
      <c r="X3" s="298">
        <f t="shared" si="1"/>
        <v>5</v>
      </c>
      <c r="Y3" s="264">
        <f>IFERROR(__xludf.DUMMYFUNCTION("""COMPUTED_VALUE"""),45910.0)</f>
        <v>45910</v>
      </c>
      <c r="Z3" s="265" t="str">
        <f>IFERROR(__xludf.DUMMYFUNCTION("""COMPUTED_VALUE"""),"Giacomo")</f>
        <v>Giacomo</v>
      </c>
      <c r="AA3" s="266">
        <f>IFERROR(__xludf.DUMMYFUNCTION("""COMPUTED_VALUE"""),1.8571428571428572)</f>
        <v>1.857142857</v>
      </c>
      <c r="AB3" s="266">
        <f>IFERROR(__xludf.DUMMYFUNCTION("""COMPUTED_VALUE"""),0.8329931278350429)</f>
        <v>0.8329931278</v>
      </c>
      <c r="AC3" s="266">
        <f>IFERROR(__xludf.DUMMYFUNCTION("""COMPUTED_VALUE"""),2.0)</f>
        <v>2</v>
      </c>
      <c r="AD3" s="265" t="str">
        <f>IFERROR(__xludf.DUMMYFUNCTION("""COMPUTED_VALUE"""),"SEE U DANCE")</f>
        <v>SEE U DANCE</v>
      </c>
      <c r="AE3" s="267" t="str">
        <f>IFERROR(__xludf.DUMMYFUNCTION("""COMPUTED_VALUE"""),"Joey Valence &amp; Brae, Rebecca Black")</f>
        <v>Joey Valence &amp; Brae, Rebecca Black</v>
      </c>
    </row>
    <row r="4">
      <c r="A4" s="359" t="s">
        <v>389</v>
      </c>
      <c r="B4" s="359" t="s">
        <v>381</v>
      </c>
      <c r="C4" s="359" t="s">
        <v>381</v>
      </c>
      <c r="D4" s="373" t="s">
        <v>381</v>
      </c>
      <c r="E4" s="361" t="s">
        <v>381</v>
      </c>
      <c r="F4" s="362"/>
      <c r="G4" s="363"/>
      <c r="H4" s="364" t="s">
        <v>382</v>
      </c>
      <c r="I4" s="365" t="s">
        <v>381</v>
      </c>
      <c r="J4" s="366"/>
      <c r="K4" s="367" t="str">
        <f t="shared" ref="K4:K5" si="5">M6</f>
        <v>Send it Back</v>
      </c>
      <c r="L4" s="368">
        <f t="shared" si="2"/>
        <v>4</v>
      </c>
      <c r="M4" s="367" t="str">
        <f t="shared" si="3"/>
        <v>Send it Back</v>
      </c>
      <c r="N4" s="368">
        <f t="shared" si="4"/>
        <v>2</v>
      </c>
      <c r="O4" s="362" t="str">
        <f>M9</f>
        <v>La Perla</v>
      </c>
      <c r="P4" s="366"/>
      <c r="Q4" s="369"/>
      <c r="R4" s="370"/>
      <c r="S4" s="371" t="s">
        <v>382</v>
      </c>
      <c r="T4" s="372" t="s">
        <v>381</v>
      </c>
      <c r="U4" s="367"/>
      <c r="V4" s="360"/>
      <c r="X4" s="298">
        <f t="shared" si="1"/>
        <v>39</v>
      </c>
      <c r="Y4" s="264">
        <f>IFERROR(__xludf.DUMMYFUNCTION("""COMPUTED_VALUE"""),45912.0)</f>
        <v>45912</v>
      </c>
      <c r="Z4" s="265" t="str">
        <f>IFERROR(__xludf.DUMMYFUNCTION("""COMPUTED_VALUE"""),"Rosey")</f>
        <v>Rosey</v>
      </c>
      <c r="AA4" s="266">
        <f>IFERROR(__xludf.DUMMYFUNCTION("""COMPUTED_VALUE"""),2.857142857142857)</f>
        <v>2.857142857</v>
      </c>
      <c r="AB4" s="266">
        <f>IFERROR(__xludf.DUMMYFUNCTION("""COMPUTED_VALUE"""),1.8070158058105026)</f>
        <v>1.807015806</v>
      </c>
      <c r="AC4" s="266">
        <f>IFERROR(__xludf.DUMMYFUNCTION("""COMPUTED_VALUE"""),3.1666666666666665)</f>
        <v>3.166666667</v>
      </c>
      <c r="AD4" s="265" t="str">
        <f>IFERROR(__xludf.DUMMYFUNCTION("""COMPUTED_VALUE"""),"Helena Beat")</f>
        <v>Helena Beat</v>
      </c>
      <c r="AE4" s="267" t="str">
        <f>IFERROR(__xludf.DUMMYFUNCTION("""COMPUTED_VALUE"""),"Foster the People")</f>
        <v>Foster the People</v>
      </c>
    </row>
    <row r="5">
      <c r="A5" s="359" t="s">
        <v>385</v>
      </c>
      <c r="B5" s="359" t="s">
        <v>381</v>
      </c>
      <c r="C5" s="359" t="s">
        <v>381</v>
      </c>
      <c r="D5" s="373" t="s">
        <v>381</v>
      </c>
      <c r="E5" s="361" t="s">
        <v>381</v>
      </c>
      <c r="F5" s="362"/>
      <c r="G5" s="371" t="s">
        <v>382</v>
      </c>
      <c r="H5" s="370"/>
      <c r="I5" s="365" t="s">
        <v>381</v>
      </c>
      <c r="J5" s="366"/>
      <c r="K5" s="367" t="str">
        <f t="shared" si="5"/>
        <v>Image</v>
      </c>
      <c r="L5" s="368">
        <f t="shared" si="2"/>
        <v>4</v>
      </c>
      <c r="M5" s="367" t="str">
        <f>IF(L5&gt;=4,K5,IF(N5&gt;=3,O5,"TBD"))</f>
        <v>Image</v>
      </c>
      <c r="N5" s="368">
        <f t="shared" si="4"/>
        <v>2</v>
      </c>
      <c r="O5" s="362" t="str">
        <f>M8</f>
        <v>Samurai</v>
      </c>
      <c r="P5" s="366"/>
      <c r="Q5" s="369"/>
      <c r="R5" s="364" t="s">
        <v>382</v>
      </c>
      <c r="S5" s="363"/>
      <c r="T5" s="372" t="s">
        <v>381</v>
      </c>
      <c r="U5" s="367"/>
      <c r="V5" s="360"/>
      <c r="X5" s="298">
        <f t="shared" si="1"/>
        <v>23</v>
      </c>
      <c r="Y5" s="264">
        <f>IFERROR(__xludf.DUMMYFUNCTION("""COMPUTED_VALUE"""),45915.0)</f>
        <v>45915</v>
      </c>
      <c r="Z5" s="265" t="str">
        <f>IFERROR(__xludf.DUMMYFUNCTION("""COMPUTED_VALUE"""),"Rosey")</f>
        <v>Rosey</v>
      </c>
      <c r="AA5" s="266">
        <f>IFERROR(__xludf.DUMMYFUNCTION("""COMPUTED_VALUE"""),2.4285714285714284)</f>
        <v>2.428571429</v>
      </c>
      <c r="AB5" s="266">
        <f>IFERROR(__xludf.DUMMYFUNCTION("""COMPUTED_VALUE"""),2.1285234893930483)</f>
        <v>2.128523489</v>
      </c>
      <c r="AC5" s="266">
        <f>IFERROR(__xludf.DUMMYFUNCTION("""COMPUTED_VALUE"""),2.6666666666666665)</f>
        <v>2.666666667</v>
      </c>
      <c r="AD5" s="265" t="str">
        <f>IFERROR(__xludf.DUMMYFUNCTION("""COMPUTED_VALUE"""),"On My Own")</f>
        <v>On My Own</v>
      </c>
      <c r="AE5" s="267" t="str">
        <f>IFERROR(__xludf.DUMMYFUNCTION("""COMPUTED_VALUE"""),"Jaden, Kid Cudi")</f>
        <v>Jaden, Kid Cudi</v>
      </c>
    </row>
    <row r="6">
      <c r="A6" s="359" t="s">
        <v>398</v>
      </c>
      <c r="B6" s="359" t="s">
        <v>381</v>
      </c>
      <c r="C6" s="359" t="s">
        <v>381</v>
      </c>
      <c r="D6" s="373" t="s">
        <v>381</v>
      </c>
      <c r="E6" s="367"/>
      <c r="F6" s="362"/>
      <c r="G6" s="371" t="s">
        <v>382</v>
      </c>
      <c r="H6" s="370"/>
      <c r="I6" s="369"/>
      <c r="J6" s="366"/>
      <c r="K6" s="363" t="str">
        <f t="shared" ref="K6:K9" si="6">M10</f>
        <v>TEMPTATION</v>
      </c>
      <c r="L6" s="368">
        <f t="shared" si="2"/>
        <v>2</v>
      </c>
      <c r="M6" s="367" t="str">
        <f>IF(L6&gt;=3,K6,IF(N6&gt;=4,O6,"TBD"))</f>
        <v>Send it Back</v>
      </c>
      <c r="N6" s="368">
        <f t="shared" si="4"/>
        <v>4</v>
      </c>
      <c r="O6" s="367" t="str">
        <f>M17</f>
        <v>Send it Back</v>
      </c>
      <c r="P6" s="366"/>
      <c r="Q6" s="365" t="s">
        <v>382</v>
      </c>
      <c r="R6" s="364" t="s">
        <v>382</v>
      </c>
      <c r="S6" s="363"/>
      <c r="T6" s="372" t="s">
        <v>381</v>
      </c>
      <c r="U6" s="361" t="s">
        <v>381</v>
      </c>
      <c r="V6" s="360"/>
      <c r="X6" s="298">
        <f t="shared" si="1"/>
        <v>35</v>
      </c>
      <c r="Y6" s="374">
        <f>IFERROR(__xludf.DUMMYFUNCTION("""COMPUTED_VALUE"""),45917.0)</f>
        <v>45917</v>
      </c>
      <c r="Z6" s="327" t="str">
        <f>IFERROR(__xludf.DUMMYFUNCTION("""COMPUTED_VALUE"""),"Parker")</f>
        <v>Parker</v>
      </c>
      <c r="AA6" s="375">
        <f>IFERROR(__xludf.DUMMYFUNCTION("""COMPUTED_VALUE"""),2.857142857142857)</f>
        <v>2.857142857</v>
      </c>
      <c r="AB6" s="375">
        <f>IFERROR(__xludf.DUMMYFUNCTION("""COMPUTED_VALUE"""),1.6413036132965795)</f>
        <v>1.641303613</v>
      </c>
      <c r="AC6" s="375">
        <f>IFERROR(__xludf.DUMMYFUNCTION("""COMPUTED_VALUE"""),3.0)</f>
        <v>3</v>
      </c>
      <c r="AD6" s="327" t="str">
        <f>IFERROR(__xludf.DUMMYFUNCTION("""COMPUTED_VALUE"""),"Étouffée")</f>
        <v>Étouffée</v>
      </c>
      <c r="AE6" s="377" t="str">
        <f>IFERROR(__xludf.DUMMYFUNCTION("""COMPUTED_VALUE"""),"Vince Staples")</f>
        <v>Vince Staples</v>
      </c>
    </row>
    <row r="7">
      <c r="A7" s="359" t="s">
        <v>394</v>
      </c>
      <c r="B7" s="359" t="s">
        <v>381</v>
      </c>
      <c r="C7" s="359" t="s">
        <v>381</v>
      </c>
      <c r="D7" s="373" t="s">
        <v>381</v>
      </c>
      <c r="E7" s="361" t="s">
        <v>381</v>
      </c>
      <c r="F7" s="372" t="s">
        <v>381</v>
      </c>
      <c r="G7" s="371" t="s">
        <v>382</v>
      </c>
      <c r="H7" s="364" t="s">
        <v>382</v>
      </c>
      <c r="I7" s="369"/>
      <c r="J7" s="366"/>
      <c r="K7" s="367" t="str">
        <f t="shared" si="6"/>
        <v>Image</v>
      </c>
      <c r="L7" s="368">
        <f t="shared" si="2"/>
        <v>5</v>
      </c>
      <c r="M7" s="367" t="str">
        <f>IF(L7&gt;=4,K7,IF(N7&gt;=3,O7,"TBD"))</f>
        <v>Image</v>
      </c>
      <c r="N7" s="368">
        <f t="shared" si="4"/>
        <v>1</v>
      </c>
      <c r="O7" s="369" t="str">
        <f>M16</f>
        <v>Neverender</v>
      </c>
      <c r="P7" s="366"/>
      <c r="Q7" s="365" t="s">
        <v>382</v>
      </c>
      <c r="R7" s="370"/>
      <c r="S7" s="363"/>
      <c r="T7" s="362"/>
      <c r="U7" s="367"/>
      <c r="V7" s="360"/>
      <c r="X7" s="298">
        <f t="shared" si="1"/>
        <v>1</v>
      </c>
      <c r="Y7" s="264">
        <f>IFERROR(__xludf.DUMMYFUNCTION("""COMPUTED_VALUE"""),45919.0)</f>
        <v>45919</v>
      </c>
      <c r="Z7" s="265" t="str">
        <f>IFERROR(__xludf.DUMMYFUNCTION("""COMPUTED_VALUE"""),"Rosey")</f>
        <v>Rosey</v>
      </c>
      <c r="AA7" s="266">
        <f>IFERROR(__xludf.DUMMYFUNCTION("""COMPUTED_VALUE"""),1.0)</f>
        <v>1</v>
      </c>
      <c r="AB7" s="266">
        <f>IFERROR(__xludf.DUMMYFUNCTION("""COMPUTED_VALUE"""),0.0)</f>
        <v>0</v>
      </c>
      <c r="AC7" s="266">
        <f>IFERROR(__xludf.DUMMYFUNCTION("""COMPUTED_VALUE"""),1.0)</f>
        <v>1</v>
      </c>
      <c r="AD7" s="265" t="str">
        <f>IFERROR(__xludf.DUMMYFUNCTION("""COMPUTED_VALUE"""),"TEMPTATION")</f>
        <v>TEMPTATION</v>
      </c>
      <c r="AE7" s="267" t="str">
        <f>IFERROR(__xludf.DUMMYFUNCTION("""COMPUTED_VALUE"""),"Joey Bada$$")</f>
        <v>Joey Bada$$</v>
      </c>
    </row>
    <row r="8">
      <c r="A8" s="359" t="s">
        <v>393</v>
      </c>
      <c r="B8" s="359" t="s">
        <v>381</v>
      </c>
      <c r="C8" s="359" t="s">
        <v>381</v>
      </c>
      <c r="D8" s="373" t="s">
        <v>381</v>
      </c>
      <c r="E8" s="367"/>
      <c r="F8" s="372" t="s">
        <v>381</v>
      </c>
      <c r="G8" s="371" t="s">
        <v>382</v>
      </c>
      <c r="H8" s="370"/>
      <c r="I8" s="365" t="s">
        <v>381</v>
      </c>
      <c r="J8" s="366"/>
      <c r="K8" s="362" t="str">
        <f t="shared" si="6"/>
        <v>Samurai</v>
      </c>
      <c r="L8" s="368">
        <f t="shared" si="2"/>
        <v>4</v>
      </c>
      <c r="M8" s="362" t="str">
        <f>IF(L8&gt;=3,K8,IF(N8&gt;=4,O8,"TBD"))</f>
        <v>Samurai</v>
      </c>
      <c r="N8" s="368">
        <f t="shared" si="4"/>
        <v>2</v>
      </c>
      <c r="O8" s="370" t="str">
        <f>M15</f>
        <v>The Scythe</v>
      </c>
      <c r="P8" s="366"/>
      <c r="Q8" s="369"/>
      <c r="R8" s="364" t="s">
        <v>382</v>
      </c>
      <c r="S8" s="363"/>
      <c r="T8" s="362"/>
      <c r="U8" s="361" t="s">
        <v>381</v>
      </c>
      <c r="V8" s="360"/>
      <c r="X8" s="298">
        <f t="shared" si="1"/>
        <v>31</v>
      </c>
      <c r="Y8" s="264">
        <f>IFERROR(__xludf.DUMMYFUNCTION("""COMPUTED_VALUE"""),45922.0)</f>
        <v>45922</v>
      </c>
      <c r="Z8" s="265" t="str">
        <f>IFERROR(__xludf.DUMMYFUNCTION("""COMPUTED_VALUE"""),"Parker")</f>
        <v>Parker</v>
      </c>
      <c r="AA8" s="266">
        <f>IFERROR(__xludf.DUMMYFUNCTION("""COMPUTED_VALUE"""),2.7142857142857144)</f>
        <v>2.714285714</v>
      </c>
      <c r="AB8" s="266">
        <f>IFERROR(__xludf.DUMMYFUNCTION("""COMPUTED_VALUE"""),1.1605769149479943)</f>
        <v>1.160576915</v>
      </c>
      <c r="AC8" s="266">
        <f>IFERROR(__xludf.DUMMYFUNCTION("""COMPUTED_VALUE"""),2.6666666666666665)</f>
        <v>2.666666667</v>
      </c>
      <c r="AD8" s="265" t="str">
        <f>IFERROR(__xludf.DUMMYFUNCTION("""COMPUTED_VALUE"""),"Image")</f>
        <v>Image</v>
      </c>
      <c r="AE8" s="267" t="str">
        <f>IFERROR(__xludf.DUMMYFUNCTION("""COMPUTED_VALUE""")," Magdalena Bay")</f>
        <v> Magdalena Bay</v>
      </c>
    </row>
    <row r="9">
      <c r="A9" s="379" t="s">
        <v>542</v>
      </c>
      <c r="B9" s="359" t="s">
        <v>381</v>
      </c>
      <c r="C9" s="359" t="s">
        <v>381</v>
      </c>
      <c r="D9" s="360"/>
      <c r="E9" s="361" t="s">
        <v>381</v>
      </c>
      <c r="F9" s="372" t="s">
        <v>381</v>
      </c>
      <c r="G9" s="363"/>
      <c r="H9" s="364" t="s">
        <v>382</v>
      </c>
      <c r="I9" s="365" t="s">
        <v>382</v>
      </c>
      <c r="J9" s="366"/>
      <c r="K9" s="362" t="str">
        <f t="shared" si="6"/>
        <v>La Perla</v>
      </c>
      <c r="L9" s="368">
        <f t="shared" si="2"/>
        <v>4</v>
      </c>
      <c r="M9" s="362" t="str">
        <f>IF(L9&gt;=4,K9,IF(N9&gt;=3,O9,"TBD"))</f>
        <v>La Perla</v>
      </c>
      <c r="N9" s="368">
        <f t="shared" si="4"/>
        <v>1</v>
      </c>
      <c r="O9" s="367" t="str">
        <f>M14</f>
        <v>drive ME crazy!</v>
      </c>
      <c r="P9" s="366"/>
      <c r="Q9" s="369"/>
      <c r="R9" s="370"/>
      <c r="S9" s="371"/>
      <c r="T9" s="362"/>
      <c r="U9" s="367"/>
      <c r="V9" s="373" t="s">
        <v>381</v>
      </c>
      <c r="X9" s="298">
        <f t="shared" si="1"/>
        <v>48</v>
      </c>
      <c r="Y9" s="264">
        <f>IFERROR(__xludf.DUMMYFUNCTION("""COMPUTED_VALUE"""),45924.0)</f>
        <v>45924</v>
      </c>
      <c r="Z9" s="265" t="str">
        <f>IFERROR(__xludf.DUMMYFUNCTION("""COMPUTED_VALUE"""),"Giacomo")</f>
        <v>Giacomo</v>
      </c>
      <c r="AA9" s="266">
        <f>IFERROR(__xludf.DUMMYFUNCTION("""COMPUTED_VALUE"""),3.2857142857142856)</f>
        <v>3.285714286</v>
      </c>
      <c r="AB9" s="266">
        <f>IFERROR(__xludf.DUMMYFUNCTION("""COMPUTED_VALUE"""),1.749635530559413)</f>
        <v>1.749635531</v>
      </c>
      <c r="AC9" s="266">
        <f>IFERROR(__xludf.DUMMYFUNCTION("""COMPUTED_VALUE"""),3.6666666666666665)</f>
        <v>3.666666667</v>
      </c>
      <c r="AD9" s="265" t="str">
        <f>IFERROR(__xludf.DUMMYFUNCTION("""COMPUTED_VALUE"""),"No Problems")</f>
        <v>No Problems</v>
      </c>
      <c r="AE9" s="267" t="str">
        <f>IFERROR(__xludf.DUMMYFUNCTION("""COMPUTED_VALUE"""),"Ginger Root")</f>
        <v>Ginger Root</v>
      </c>
    </row>
    <row r="10">
      <c r="A10" s="359" t="s">
        <v>545</v>
      </c>
      <c r="B10" s="359" t="s">
        <v>381</v>
      </c>
      <c r="C10" s="359" t="s">
        <v>381</v>
      </c>
      <c r="D10" s="373" t="s">
        <v>381</v>
      </c>
      <c r="E10" s="361" t="s">
        <v>381</v>
      </c>
      <c r="F10" s="372" t="s">
        <v>381</v>
      </c>
      <c r="G10" s="363"/>
      <c r="H10" s="364" t="s">
        <v>382</v>
      </c>
      <c r="I10" s="369"/>
      <c r="J10" s="366"/>
      <c r="K10" s="363" t="str">
        <f t="shared" ref="K10:K17" si="7">M18</f>
        <v>TEMPTATION</v>
      </c>
      <c r="L10" s="368">
        <f t="shared" si="2"/>
        <v>4</v>
      </c>
      <c r="M10" s="363" t="str">
        <f>IF(L10&gt;=3,K10,IF(N10&gt;=4,O10,"TBD"))</f>
        <v>TEMPTATION</v>
      </c>
      <c r="N10" s="368">
        <f t="shared" si="4"/>
        <v>0</v>
      </c>
      <c r="O10" s="360" t="str">
        <f t="shared" ref="O10:O11" si="8">M32</f>
        <v>Soap</v>
      </c>
      <c r="P10" s="366"/>
      <c r="Q10" s="369"/>
      <c r="R10" s="370"/>
      <c r="S10" s="363"/>
      <c r="T10" s="362"/>
      <c r="U10" s="367"/>
      <c r="V10" s="360"/>
      <c r="X10" s="298">
        <f t="shared" si="1"/>
        <v>26</v>
      </c>
      <c r="Y10" s="264">
        <f>IFERROR(__xludf.DUMMYFUNCTION("""COMPUTED_VALUE"""),45926.0)</f>
        <v>45926</v>
      </c>
      <c r="Z10" s="265" t="str">
        <f>IFERROR(__xludf.DUMMYFUNCTION("""COMPUTED_VALUE"""),"Weston")</f>
        <v>Weston</v>
      </c>
      <c r="AA10" s="266">
        <f>IFERROR(__xludf.DUMMYFUNCTION("""COMPUTED_VALUE"""),2.5714285714285716)</f>
        <v>2.571428571</v>
      </c>
      <c r="AB10" s="266">
        <f>IFERROR(__xludf.DUMMYFUNCTION("""COMPUTED_VALUE"""),1.9166296949998198)</f>
        <v>1.916629695</v>
      </c>
      <c r="AC10" s="266">
        <f>IFERROR(__xludf.DUMMYFUNCTION("""COMPUTED_VALUE"""),2.6666666666666665)</f>
        <v>2.666666667</v>
      </c>
      <c r="AD10" s="265" t="str">
        <f>IFERROR(__xludf.DUMMYFUNCTION("""COMPUTED_VALUE"""),"Worlds away")</f>
        <v>Worlds away</v>
      </c>
      <c r="AE10" s="267" t="str">
        <f>IFERROR(__xludf.DUMMYFUNCTION("""COMPUTED_VALUE"""),"Dabin")</f>
        <v>Dabin</v>
      </c>
    </row>
    <row r="11">
      <c r="A11" s="359" t="s">
        <v>548</v>
      </c>
      <c r="B11" s="359" t="s">
        <v>381</v>
      </c>
      <c r="C11" s="359" t="s">
        <v>381</v>
      </c>
      <c r="D11" s="373" t="s">
        <v>381</v>
      </c>
      <c r="E11" s="361" t="s">
        <v>381</v>
      </c>
      <c r="F11" s="372" t="s">
        <v>381</v>
      </c>
      <c r="G11" s="363"/>
      <c r="H11" s="364" t="s">
        <v>382</v>
      </c>
      <c r="I11" s="369"/>
      <c r="J11" s="366"/>
      <c r="K11" s="367" t="str">
        <f t="shared" si="7"/>
        <v>Image</v>
      </c>
      <c r="L11" s="368">
        <f t="shared" si="2"/>
        <v>4</v>
      </c>
      <c r="M11" s="367" t="str">
        <f>IF(L11&gt;=4,K11,IF(N11&gt;=3,O11,"TBD"))</f>
        <v>Image</v>
      </c>
      <c r="N11" s="368">
        <f t="shared" si="4"/>
        <v>0</v>
      </c>
      <c r="O11" s="363" t="str">
        <f t="shared" si="8"/>
        <v>Hell of a Night</v>
      </c>
      <c r="P11" s="366"/>
      <c r="Q11" s="369"/>
      <c r="R11" s="370"/>
      <c r="S11" s="363"/>
      <c r="T11" s="362"/>
      <c r="U11" s="367"/>
      <c r="V11" s="360"/>
      <c r="X11" s="298">
        <f t="shared" si="1"/>
        <v>49</v>
      </c>
      <c r="Y11" s="264">
        <f>IFERROR(__xludf.DUMMYFUNCTION("""COMPUTED_VALUE"""),45929.0)</f>
        <v>45929</v>
      </c>
      <c r="Z11" s="265" t="str">
        <f>IFERROR(__xludf.DUMMYFUNCTION("""COMPUTED_VALUE"""),"Weston")</f>
        <v>Weston</v>
      </c>
      <c r="AA11" s="266">
        <f>IFERROR(__xludf.DUMMYFUNCTION("""COMPUTED_VALUE"""),3.4285714285714284)</f>
        <v>3.428571429</v>
      </c>
      <c r="AB11" s="266">
        <f>IFERROR(__xludf.DUMMYFUNCTION("""COMPUTED_VALUE"""),1.4982983545287878)</f>
        <v>1.498298355</v>
      </c>
      <c r="AC11" s="266">
        <f>IFERROR(__xludf.DUMMYFUNCTION("""COMPUTED_VALUE"""),3.6666666666666665)</f>
        <v>3.666666667</v>
      </c>
      <c r="AD11" s="265" t="str">
        <f>IFERROR(__xludf.DUMMYFUNCTION("""COMPUTED_VALUE"""),"Pasadena")</f>
        <v>Pasadena</v>
      </c>
      <c r="AE11" s="267" t="str">
        <f>IFERROR(__xludf.DUMMYFUNCTION("""COMPUTED_VALUE"""),"Young Mister")</f>
        <v>Young Mister</v>
      </c>
    </row>
    <row r="12">
      <c r="A12" s="359" t="s">
        <v>458</v>
      </c>
      <c r="B12" s="359" t="s">
        <v>381</v>
      </c>
      <c r="C12" s="359" t="s">
        <v>381</v>
      </c>
      <c r="D12" s="360"/>
      <c r="E12" s="367"/>
      <c r="F12" s="372" t="s">
        <v>381</v>
      </c>
      <c r="G12" s="371" t="s">
        <v>382</v>
      </c>
      <c r="H12" s="364" t="s">
        <v>382</v>
      </c>
      <c r="I12" s="369"/>
      <c r="J12" s="366"/>
      <c r="K12" s="362" t="str">
        <f t="shared" si="7"/>
        <v>Samurai</v>
      </c>
      <c r="L12" s="368">
        <f t="shared" si="2"/>
        <v>3</v>
      </c>
      <c r="M12" s="362" t="str">
        <f t="shared" ref="M12:M51" si="9">IF(L12&gt;=3,K12,IF(N12&gt;=4,O12,"TBD"))</f>
        <v>Samurai</v>
      </c>
      <c r="N12" s="368">
        <f t="shared" si="4"/>
        <v>2</v>
      </c>
      <c r="O12" s="362" t="str">
        <f>M31</f>
        <v>GOOD BAD UGLY</v>
      </c>
      <c r="P12" s="366"/>
      <c r="Q12" s="365" t="s">
        <v>382</v>
      </c>
      <c r="R12" s="370"/>
      <c r="S12" s="363"/>
      <c r="T12" s="362"/>
      <c r="U12" s="367"/>
      <c r="V12" s="373" t="s">
        <v>381</v>
      </c>
      <c r="X12" s="298">
        <f t="shared" si="1"/>
        <v>33</v>
      </c>
      <c r="Y12" s="264">
        <f>IFERROR(__xludf.DUMMYFUNCTION("""COMPUTED_VALUE"""),45931.0)</f>
        <v>45931</v>
      </c>
      <c r="Z12" s="265" t="str">
        <f>IFERROR(__xludf.DUMMYFUNCTION("""COMPUTED_VALUE"""),"Rosey")</f>
        <v>Rosey</v>
      </c>
      <c r="AA12" s="266">
        <f>IFERROR(__xludf.DUMMYFUNCTION("""COMPUTED_VALUE"""),2.7142857142857144)</f>
        <v>2.714285714</v>
      </c>
      <c r="AB12" s="266">
        <f>IFERROR(__xludf.DUMMYFUNCTION("""COMPUTED_VALUE"""),1.385051387833237)</f>
        <v>1.385051388</v>
      </c>
      <c r="AC12" s="266">
        <f>IFERROR(__xludf.DUMMYFUNCTION("""COMPUTED_VALUE"""),3.0)</f>
        <v>3</v>
      </c>
      <c r="AD12" s="265" t="str">
        <f>IFERROR(__xludf.DUMMYFUNCTION("""COMPUTED_VALUE"""),"You And Me")</f>
        <v>You And Me</v>
      </c>
      <c r="AE12" s="267" t="str">
        <f>IFERROR(__xludf.DUMMYFUNCTION("""COMPUTED_VALUE"""),"Attack! Attack!")</f>
        <v>Attack! Attack!</v>
      </c>
    </row>
    <row r="13">
      <c r="A13" s="359" t="s">
        <v>418</v>
      </c>
      <c r="B13" s="359" t="s">
        <v>381</v>
      </c>
      <c r="C13" s="359" t="s">
        <v>381</v>
      </c>
      <c r="D13" s="373" t="s">
        <v>381</v>
      </c>
      <c r="E13" s="367"/>
      <c r="F13" s="362"/>
      <c r="G13" s="363"/>
      <c r="H13" s="370"/>
      <c r="I13" s="365" t="s">
        <v>382</v>
      </c>
      <c r="J13" s="366"/>
      <c r="K13" s="369" t="str">
        <f t="shared" si="7"/>
        <v>Digital Love</v>
      </c>
      <c r="L13" s="368">
        <f t="shared" si="2"/>
        <v>2</v>
      </c>
      <c r="M13" s="362" t="str">
        <f t="shared" si="9"/>
        <v>La Perla</v>
      </c>
      <c r="N13" s="368">
        <f t="shared" si="4"/>
        <v>4</v>
      </c>
      <c r="O13" s="362" t="str">
        <f>M30</f>
        <v>La Perla</v>
      </c>
      <c r="P13" s="366"/>
      <c r="Q13" s="369"/>
      <c r="R13" s="364" t="s">
        <v>382</v>
      </c>
      <c r="S13" s="371" t="s">
        <v>382</v>
      </c>
      <c r="T13" s="372" t="s">
        <v>381</v>
      </c>
      <c r="U13" s="361" t="s">
        <v>381</v>
      </c>
      <c r="V13" s="360"/>
      <c r="X13" s="298">
        <f t="shared" si="1"/>
        <v>28</v>
      </c>
      <c r="Y13" s="264">
        <f>IFERROR(__xludf.DUMMYFUNCTION("""COMPUTED_VALUE"""),45933.0)</f>
        <v>45933</v>
      </c>
      <c r="Z13" s="265" t="str">
        <f>IFERROR(__xludf.DUMMYFUNCTION("""COMPUTED_VALUE"""),"Rosey")</f>
        <v>Rosey</v>
      </c>
      <c r="AA13" s="266">
        <f>IFERROR(__xludf.DUMMYFUNCTION("""COMPUTED_VALUE"""),2.5714285714285716)</f>
        <v>2.571428571</v>
      </c>
      <c r="AB13" s="266">
        <f>IFERROR(__xludf.DUMMYFUNCTION("""COMPUTED_VALUE"""),1.5907898179514348)</f>
        <v>1.590789818</v>
      </c>
      <c r="AC13" s="266">
        <f>IFERROR(__xludf.DUMMYFUNCTION("""COMPUTED_VALUE"""),2.8333333333333335)</f>
        <v>2.833333333</v>
      </c>
      <c r="AD13" s="265" t="str">
        <f>IFERROR(__xludf.DUMMYFUNCTION("""COMPUTED_VALUE"""),"All The Things She Said")</f>
        <v>All The Things She Said</v>
      </c>
      <c r="AE13" s="267" t="str">
        <f>IFERROR(__xludf.DUMMYFUNCTION("""COMPUTED_VALUE"""),"t.A.T.u")</f>
        <v>t.A.T.u</v>
      </c>
    </row>
    <row r="14">
      <c r="A14" s="359" t="s">
        <v>413</v>
      </c>
      <c r="B14" s="359" t="s">
        <v>381</v>
      </c>
      <c r="C14" s="359" t="s">
        <v>381</v>
      </c>
      <c r="D14" s="373" t="s">
        <v>381</v>
      </c>
      <c r="E14" s="367"/>
      <c r="F14" s="362"/>
      <c r="G14" s="363"/>
      <c r="H14" s="370"/>
      <c r="I14" s="369"/>
      <c r="J14" s="366"/>
      <c r="K14" s="362" t="str">
        <f t="shared" si="7"/>
        <v>SEE U DANCE</v>
      </c>
      <c r="L14" s="368">
        <f t="shared" si="2"/>
        <v>1</v>
      </c>
      <c r="M14" s="367" t="str">
        <f t="shared" si="9"/>
        <v>drive ME crazy!</v>
      </c>
      <c r="N14" s="368">
        <f t="shared" si="4"/>
        <v>4</v>
      </c>
      <c r="O14" s="367" t="str">
        <f>M29</f>
        <v>drive ME crazy!</v>
      </c>
      <c r="P14" s="366"/>
      <c r="Q14" s="369"/>
      <c r="R14" s="364" t="s">
        <v>382</v>
      </c>
      <c r="S14" s="371" t="s">
        <v>382</v>
      </c>
      <c r="T14" s="372" t="s">
        <v>381</v>
      </c>
      <c r="U14" s="361" t="s">
        <v>381</v>
      </c>
      <c r="V14" s="360"/>
      <c r="X14" s="298">
        <f t="shared" si="1"/>
        <v>6</v>
      </c>
      <c r="Y14" s="264">
        <f>IFERROR(__xludf.DUMMYFUNCTION("""COMPUTED_VALUE"""),45936.0)</f>
        <v>45936</v>
      </c>
      <c r="Z14" s="265" t="str">
        <f>IFERROR(__xludf.DUMMYFUNCTION("""COMPUTED_VALUE"""),"TTAC")</f>
        <v>TTAC</v>
      </c>
      <c r="AA14" s="266">
        <f>IFERROR(__xludf.DUMMYFUNCTION("""COMPUTED_VALUE"""),1.8571428571428572)</f>
        <v>1.857142857</v>
      </c>
      <c r="AB14" s="266">
        <f>IFERROR(__xludf.DUMMYFUNCTION("""COMPUTED_VALUE"""),0.989743318610787)</f>
        <v>0.9897433186</v>
      </c>
      <c r="AC14" s="266">
        <f>IFERROR(__xludf.DUMMYFUNCTION("""COMPUTED_VALUE"""),2.0)</f>
        <v>2</v>
      </c>
      <c r="AD14" s="265" t="str">
        <f>IFERROR(__xludf.DUMMYFUNCTION("""COMPUTED_VALUE"""),"The Scythe")</f>
        <v>The Scythe</v>
      </c>
      <c r="AE14" s="267" t="str">
        <f>IFERROR(__xludf.DUMMYFUNCTION("""COMPUTED_VALUE"""),"The Last Dinner Party")</f>
        <v>The Last Dinner Party</v>
      </c>
    </row>
    <row r="15">
      <c r="A15" s="359" t="s">
        <v>409</v>
      </c>
      <c r="B15" s="359" t="s">
        <v>381</v>
      </c>
      <c r="C15" s="359" t="s">
        <v>381</v>
      </c>
      <c r="D15" s="373" t="s">
        <v>381</v>
      </c>
      <c r="E15" s="361" t="s">
        <v>381</v>
      </c>
      <c r="F15" s="362"/>
      <c r="G15" s="363"/>
      <c r="H15" s="364" t="s">
        <v>382</v>
      </c>
      <c r="I15" s="369"/>
      <c r="J15" s="366"/>
      <c r="K15" s="370" t="str">
        <f t="shared" si="7"/>
        <v>The Scythe</v>
      </c>
      <c r="L15" s="368">
        <f t="shared" si="2"/>
        <v>3</v>
      </c>
      <c r="M15" s="370" t="str">
        <f t="shared" si="9"/>
        <v>The Scythe</v>
      </c>
      <c r="N15" s="368">
        <f t="shared" si="4"/>
        <v>3</v>
      </c>
      <c r="O15" s="363" t="str">
        <f>M28</f>
        <v>Chains &amp; Whips</v>
      </c>
      <c r="P15" s="366"/>
      <c r="Q15" s="365" t="s">
        <v>382</v>
      </c>
      <c r="R15" s="370"/>
      <c r="S15" s="371" t="s">
        <v>382</v>
      </c>
      <c r="T15" s="372" t="s">
        <v>381</v>
      </c>
      <c r="U15" s="367"/>
      <c r="V15" s="360"/>
      <c r="X15" s="298">
        <f t="shared" si="1"/>
        <v>42</v>
      </c>
      <c r="Y15" s="264">
        <f>IFERROR(__xludf.DUMMYFUNCTION("""COMPUTED_VALUE"""),45938.0)</f>
        <v>45938</v>
      </c>
      <c r="Z15" s="265" t="str">
        <f>IFERROR(__xludf.DUMMYFUNCTION("""COMPUTED_VALUE"""),"TTAC")</f>
        <v>TTAC</v>
      </c>
      <c r="AA15" s="266">
        <f>IFERROR(__xludf.DUMMYFUNCTION("""COMPUTED_VALUE"""),3.0)</f>
        <v>3</v>
      </c>
      <c r="AB15" s="266">
        <f>IFERROR(__xludf.DUMMYFUNCTION("""COMPUTED_VALUE"""),1.9999999999999998)</f>
        <v>2</v>
      </c>
      <c r="AC15" s="266">
        <f>IFERROR(__xludf.DUMMYFUNCTION("""COMPUTED_VALUE"""),3.1666666666666665)</f>
        <v>3.166666667</v>
      </c>
      <c r="AD15" s="265" t="str">
        <f>IFERROR(__xludf.DUMMYFUNCTION("""COMPUTED_VALUE"""),"By and By")</f>
        <v>By and By</v>
      </c>
      <c r="AE15" s="267" t="str">
        <f>IFERROR(__xludf.DUMMYFUNCTION("""COMPUTED_VALUE"""),"Caamp")</f>
        <v>Caamp</v>
      </c>
    </row>
    <row r="16">
      <c r="A16" s="359" t="s">
        <v>403</v>
      </c>
      <c r="B16" s="359" t="s">
        <v>381</v>
      </c>
      <c r="C16" s="359" t="s">
        <v>381</v>
      </c>
      <c r="D16" s="373" t="s">
        <v>381</v>
      </c>
      <c r="E16" s="367"/>
      <c r="F16" s="362"/>
      <c r="G16" s="371" t="s">
        <v>382</v>
      </c>
      <c r="H16" s="370"/>
      <c r="I16" s="365" t="s">
        <v>382</v>
      </c>
      <c r="J16" s="366"/>
      <c r="K16" s="369" t="str">
        <f t="shared" si="7"/>
        <v>Neverender</v>
      </c>
      <c r="L16" s="368">
        <f t="shared" si="2"/>
        <v>3</v>
      </c>
      <c r="M16" s="369" t="str">
        <f t="shared" si="9"/>
        <v>Neverender</v>
      </c>
      <c r="N16" s="368">
        <f t="shared" si="4"/>
        <v>3</v>
      </c>
      <c r="O16" s="370" t="str">
        <f>M27</f>
        <v>By and By</v>
      </c>
      <c r="P16" s="366"/>
      <c r="Q16" s="369"/>
      <c r="R16" s="364" t="s">
        <v>382</v>
      </c>
      <c r="S16" s="363"/>
      <c r="T16" s="372" t="s">
        <v>381</v>
      </c>
      <c r="U16" s="361" t="s">
        <v>381</v>
      </c>
      <c r="V16" s="360"/>
      <c r="X16" s="298">
        <f t="shared" si="1"/>
        <v>21</v>
      </c>
      <c r="Y16" s="264">
        <f>IFERROR(__xludf.DUMMYFUNCTION("""COMPUTED_VALUE"""),45940.0)</f>
        <v>45940</v>
      </c>
      <c r="Z16" s="265" t="str">
        <f>IFERROR(__xludf.DUMMYFUNCTION("""COMPUTED_VALUE"""),"Weston")</f>
        <v>Weston</v>
      </c>
      <c r="AA16" s="266">
        <f>IFERROR(__xludf.DUMMYFUNCTION("""COMPUTED_VALUE"""),2.4285714285714284)</f>
        <v>2.428571429</v>
      </c>
      <c r="AB16" s="266">
        <f>IFERROR(__xludf.DUMMYFUNCTION("""COMPUTED_VALUE"""),1.498298354528788)</f>
        <v>1.498298355</v>
      </c>
      <c r="AC16" s="266">
        <f>IFERROR(__xludf.DUMMYFUNCTION("""COMPUTED_VALUE"""),2.6666666666666665)</f>
        <v>2.666666667</v>
      </c>
      <c r="AD16" s="265" t="str">
        <f>IFERROR(__xludf.DUMMYFUNCTION("""COMPUTED_VALUE"""),"Black butterflies and Déjà vu")</f>
        <v>Black butterflies and Déjà vu</v>
      </c>
      <c r="AE16" s="267" t="str">
        <f>IFERROR(__xludf.DUMMYFUNCTION("""COMPUTED_VALUE"""),"The Maine")</f>
        <v>The Maine</v>
      </c>
    </row>
    <row r="17">
      <c r="A17" s="359" t="s">
        <v>400</v>
      </c>
      <c r="B17" s="359" t="s">
        <v>381</v>
      </c>
      <c r="C17" s="359" t="s">
        <v>381</v>
      </c>
      <c r="D17" s="360"/>
      <c r="E17" s="361" t="s">
        <v>381</v>
      </c>
      <c r="F17" s="372" t="s">
        <v>381</v>
      </c>
      <c r="G17" s="363"/>
      <c r="H17" s="364" t="s">
        <v>382</v>
      </c>
      <c r="I17" s="369"/>
      <c r="J17" s="366"/>
      <c r="K17" s="367" t="str">
        <f t="shared" si="7"/>
        <v>Send it Back</v>
      </c>
      <c r="L17" s="368">
        <f t="shared" si="2"/>
        <v>3</v>
      </c>
      <c r="M17" s="367" t="str">
        <f t="shared" si="9"/>
        <v>Send it Back</v>
      </c>
      <c r="N17" s="368">
        <f t="shared" si="4"/>
        <v>1</v>
      </c>
      <c r="O17" s="363" t="str">
        <f>M26</f>
        <v>in the pool</v>
      </c>
      <c r="P17" s="366"/>
      <c r="Q17" s="369"/>
      <c r="R17" s="370"/>
      <c r="S17" s="363"/>
      <c r="T17" s="362"/>
      <c r="U17" s="367"/>
      <c r="V17" s="373" t="s">
        <v>381</v>
      </c>
      <c r="X17" s="298">
        <f t="shared" si="1"/>
        <v>15</v>
      </c>
      <c r="Y17" s="264">
        <f>IFERROR(__xludf.DUMMYFUNCTION("""COMPUTED_VALUE"""),45943.0)</f>
        <v>45943</v>
      </c>
      <c r="Z17" s="265" t="str">
        <f>IFERROR(__xludf.DUMMYFUNCTION("""COMPUTED_VALUE"""),"Rosey")</f>
        <v>Rosey</v>
      </c>
      <c r="AA17" s="266">
        <f>IFERROR(__xludf.DUMMYFUNCTION("""COMPUTED_VALUE"""),2.2857142857142856)</f>
        <v>2.285714286</v>
      </c>
      <c r="AB17" s="266">
        <f>IFERROR(__xludf.DUMMYFUNCTION("""COMPUTED_VALUE"""),1.2777531299998799)</f>
        <v>1.27775313</v>
      </c>
      <c r="AC17" s="266">
        <f>IFERROR(__xludf.DUMMYFUNCTION("""COMPUTED_VALUE"""),2.5)</f>
        <v>2.5</v>
      </c>
      <c r="AD17" s="265" t="str">
        <f>IFERROR(__xludf.DUMMYFUNCTION("""COMPUTED_VALUE"""),"Hell of a Night")</f>
        <v>Hell of a Night</v>
      </c>
      <c r="AE17" s="267" t="str">
        <f>IFERROR(__xludf.DUMMYFUNCTION("""COMPUTED_VALUE"""),"ScHoolboy Q")</f>
        <v>ScHoolboy Q</v>
      </c>
    </row>
    <row r="18">
      <c r="A18" s="359" t="s">
        <v>555</v>
      </c>
      <c r="B18" s="359">
        <v>1.0</v>
      </c>
      <c r="C18" s="359" t="s">
        <v>381</v>
      </c>
      <c r="D18" s="373" t="s">
        <v>381</v>
      </c>
      <c r="E18" s="361" t="s">
        <v>381</v>
      </c>
      <c r="F18" s="372" t="s">
        <v>381</v>
      </c>
      <c r="G18" s="371" t="s">
        <v>382</v>
      </c>
      <c r="H18" s="364" t="s">
        <v>382</v>
      </c>
      <c r="I18" s="369"/>
      <c r="J18" s="366"/>
      <c r="K18" s="363" t="str">
        <f>IFERROR(__xludf.DUMMYFUNCTION("IF(COUNTIF(X:X,B18)&gt;0,FILTER(AD:AD,X:X=B18),""TBD"")"),"TEMPTATION")</f>
        <v>TEMPTATION</v>
      </c>
      <c r="L18" s="368">
        <f t="shared" si="2"/>
        <v>5</v>
      </c>
      <c r="M18" s="363" t="str">
        <f t="shared" si="9"/>
        <v>TEMPTATION</v>
      </c>
      <c r="N18" s="368">
        <f t="shared" si="4"/>
        <v>0</v>
      </c>
      <c r="O18" s="363" t="str">
        <f t="shared" ref="O18:O31" si="10">M34</f>
        <v>You And Me</v>
      </c>
      <c r="P18" s="366"/>
      <c r="Q18" s="369"/>
      <c r="R18" s="370"/>
      <c r="S18" s="363"/>
      <c r="T18" s="362"/>
      <c r="U18" s="367"/>
      <c r="V18" s="360"/>
      <c r="X18" s="298">
        <f t="shared" si="1"/>
        <v>37</v>
      </c>
      <c r="Y18" s="264">
        <f>IFERROR(__xludf.DUMMYFUNCTION("""COMPUTED_VALUE"""),45945.0)</f>
        <v>45945</v>
      </c>
      <c r="Z18" s="265" t="str">
        <f>IFERROR(__xludf.DUMMYFUNCTION("""COMPUTED_VALUE"""),"Rosey")</f>
        <v>Rosey</v>
      </c>
      <c r="AA18" s="266">
        <f>IFERROR(__xludf.DUMMYFUNCTION("""COMPUTED_VALUE"""),2.857142857142857)</f>
        <v>2.857142857</v>
      </c>
      <c r="AB18" s="266">
        <f>IFERROR(__xludf.DUMMYFUNCTION("""COMPUTED_VALUE"""),1.4568627181693672)</f>
        <v>1.456862718</v>
      </c>
      <c r="AC18" s="266">
        <f>IFERROR(__xludf.DUMMYFUNCTION("""COMPUTED_VALUE"""),3.1666666666666665)</f>
        <v>3.166666667</v>
      </c>
      <c r="AD18" s="265" t="str">
        <f>IFERROR(__xludf.DUMMYFUNCTION("""COMPUTED_VALUE"""),"Catch Me Outside 2")</f>
        <v>Catch Me Outside 2</v>
      </c>
      <c r="AE18" s="267" t="str">
        <f>IFERROR(__xludf.DUMMYFUNCTION("""COMPUTED_VALUE"""),"Ski Mask The Slump God")</f>
        <v>Ski Mask The Slump God</v>
      </c>
    </row>
    <row r="19">
      <c r="A19" s="359" t="s">
        <v>556</v>
      </c>
      <c r="B19" s="359">
        <v>2.0</v>
      </c>
      <c r="C19" s="359" t="s">
        <v>381</v>
      </c>
      <c r="D19" s="360"/>
      <c r="E19" s="367"/>
      <c r="F19" s="362"/>
      <c r="G19" s="371" t="s">
        <v>382</v>
      </c>
      <c r="H19" s="364" t="s">
        <v>382</v>
      </c>
      <c r="I19" s="369"/>
      <c r="J19" s="366"/>
      <c r="K19" s="363" t="str">
        <f>IFERROR(__xludf.DUMMYFUNCTION("IF(COUNTIF(X:X,B19)&gt;0,FILTER(AD:AD,X:X=B19),""TBD"")"),"Last Christmas")</f>
        <v>Last Christmas</v>
      </c>
      <c r="L19" s="368">
        <f t="shared" si="2"/>
        <v>2</v>
      </c>
      <c r="M19" s="367" t="str">
        <f t="shared" si="9"/>
        <v>Image</v>
      </c>
      <c r="N19" s="368">
        <f t="shared" si="4"/>
        <v>4</v>
      </c>
      <c r="O19" s="367" t="str">
        <f t="shared" si="10"/>
        <v>Image</v>
      </c>
      <c r="P19" s="366"/>
      <c r="Q19" s="365" t="s">
        <v>382</v>
      </c>
      <c r="R19" s="370"/>
      <c r="S19" s="363"/>
      <c r="T19" s="372" t="s">
        <v>381</v>
      </c>
      <c r="U19" s="361" t="s">
        <v>381</v>
      </c>
      <c r="V19" s="373" t="s">
        <v>381</v>
      </c>
      <c r="W19" s="177" t="s">
        <v>141</v>
      </c>
      <c r="X19" s="298">
        <f t="shared" si="1"/>
        <v>40</v>
      </c>
      <c r="Y19" s="264">
        <f>IFERROR(__xludf.DUMMYFUNCTION("""COMPUTED_VALUE"""),45947.0)</f>
        <v>45947</v>
      </c>
      <c r="Z19" s="265" t="str">
        <f>IFERROR(__xludf.DUMMYFUNCTION("""COMPUTED_VALUE"""),"Parker")</f>
        <v>Parker</v>
      </c>
      <c r="AA19" s="266">
        <f>IFERROR(__xludf.DUMMYFUNCTION("""COMPUTED_VALUE"""),2.857142857142857)</f>
        <v>2.857142857</v>
      </c>
      <c r="AB19" s="266">
        <f>IFERROR(__xludf.DUMMYFUNCTION("""COMPUTED_VALUE"""),1.8070158058105026)</f>
        <v>1.807015806</v>
      </c>
      <c r="AC19" s="266">
        <f>IFERROR(__xludf.DUMMYFUNCTION("""COMPUTED_VALUE"""),3.1666666666666665)</f>
        <v>3.166666667</v>
      </c>
      <c r="AD19" s="265" t="str">
        <f>IFERROR(__xludf.DUMMYFUNCTION("""COMPUTED_VALUE"""),"Unshaken")</f>
        <v>Unshaken</v>
      </c>
      <c r="AE19" s="267" t="str">
        <f>IFERROR(__xludf.DUMMYFUNCTION("""COMPUTED_VALUE"""),"D'Angelo (Red Dead Redemption 2)")</f>
        <v>D'Angelo (Red Dead Redemption 2)</v>
      </c>
    </row>
    <row r="20">
      <c r="A20" s="359" t="s">
        <v>557</v>
      </c>
      <c r="B20" s="359">
        <v>3.0</v>
      </c>
      <c r="C20" s="359" t="s">
        <v>381</v>
      </c>
      <c r="D20" s="373" t="s">
        <v>381</v>
      </c>
      <c r="E20" s="367"/>
      <c r="F20" s="372" t="s">
        <v>381</v>
      </c>
      <c r="G20" s="363"/>
      <c r="H20" s="370"/>
      <c r="I20" s="365" t="s">
        <v>382</v>
      </c>
      <c r="J20" s="366"/>
      <c r="K20" s="362" t="str">
        <f>IFERROR(__xludf.DUMMYFUNCTION("IF(COUNTIF(X:X,B20)&gt;0,FILTER(AD:AD,X:X=B20),""TBD"")"),"Samurai")</f>
        <v>Samurai</v>
      </c>
      <c r="L20" s="368">
        <f t="shared" si="2"/>
        <v>3</v>
      </c>
      <c r="M20" s="362" t="str">
        <f t="shared" si="9"/>
        <v>Samurai</v>
      </c>
      <c r="N20" s="368">
        <f t="shared" si="4"/>
        <v>3</v>
      </c>
      <c r="O20" s="367" t="str">
        <f t="shared" si="10"/>
        <v>Étouffée</v>
      </c>
      <c r="P20" s="366"/>
      <c r="Q20" s="369"/>
      <c r="R20" s="364" t="s">
        <v>382</v>
      </c>
      <c r="S20" s="371" t="s">
        <v>382</v>
      </c>
      <c r="T20" s="362"/>
      <c r="U20" s="361" t="s">
        <v>381</v>
      </c>
      <c r="V20" s="360"/>
      <c r="X20" s="298">
        <f t="shared" si="1"/>
        <v>50</v>
      </c>
      <c r="Y20" s="264">
        <f>IFERROR(__xludf.DUMMYFUNCTION("""COMPUTED_VALUE"""),45950.0)</f>
        <v>45950</v>
      </c>
      <c r="Z20" s="265" t="str">
        <f>IFERROR(__xludf.DUMMYFUNCTION("""COMPUTED_VALUE"""),"Rosey")</f>
        <v>Rosey</v>
      </c>
      <c r="AA20" s="266">
        <f>IFERROR(__xludf.DUMMYFUNCTION("""COMPUTED_VALUE"""),3.4285714285714284)</f>
        <v>3.428571429</v>
      </c>
      <c r="AB20" s="266">
        <f>IFERROR(__xludf.DUMMYFUNCTION("""COMPUTED_VALUE"""),1.5907898179514348)</f>
        <v>1.590789818</v>
      </c>
      <c r="AC20" s="266">
        <f>IFERROR(__xludf.DUMMYFUNCTION("""COMPUTED_VALUE"""),3.6666666666666665)</f>
        <v>3.666666667</v>
      </c>
      <c r="AD20" s="265" t="str">
        <f>IFERROR(__xludf.DUMMYFUNCTION("""COMPUTED_VALUE"""),"The Good Life")</f>
        <v>The Good Life</v>
      </c>
      <c r="AE20" s="267" t="str">
        <f>IFERROR(__xludf.DUMMYFUNCTION("""COMPUTED_VALUE"""),"Three Days Grace")</f>
        <v>Three Days Grace</v>
      </c>
    </row>
    <row r="21">
      <c r="A21" s="359" t="s">
        <v>560</v>
      </c>
      <c r="B21" s="359">
        <v>4.0</v>
      </c>
      <c r="C21" s="359" t="s">
        <v>381</v>
      </c>
      <c r="D21" s="360"/>
      <c r="E21" s="361" t="s">
        <v>381</v>
      </c>
      <c r="F21" s="372" t="s">
        <v>381</v>
      </c>
      <c r="G21" s="363"/>
      <c r="H21" s="370"/>
      <c r="I21" s="365" t="s">
        <v>382</v>
      </c>
      <c r="J21" s="366"/>
      <c r="K21" s="369" t="str">
        <f>IFERROR(__xludf.DUMMYFUNCTION("IF(COUNTIF(X:X,B21)&gt;0,FILTER(AD:AD,X:X=B21),""TBD"")"),"Digital Love")</f>
        <v>Digital Love</v>
      </c>
      <c r="L21" s="368">
        <f t="shared" si="2"/>
        <v>3</v>
      </c>
      <c r="M21" s="369" t="str">
        <f t="shared" si="9"/>
        <v>Digital Love</v>
      </c>
      <c r="N21" s="368">
        <f t="shared" si="4"/>
        <v>2</v>
      </c>
      <c r="O21" s="360" t="str">
        <f t="shared" si="10"/>
        <v>Houston</v>
      </c>
      <c r="P21" s="366"/>
      <c r="Q21" s="369"/>
      <c r="R21" s="364" t="s">
        <v>382</v>
      </c>
      <c r="S21" s="363"/>
      <c r="T21" s="362"/>
      <c r="U21" s="367"/>
      <c r="V21" s="373" t="s">
        <v>381</v>
      </c>
      <c r="X21" s="298">
        <f t="shared" si="1"/>
        <v>18</v>
      </c>
      <c r="Y21" s="264">
        <f>IFERROR(__xludf.DUMMYFUNCTION("""COMPUTED_VALUE"""),45952.0)</f>
        <v>45952</v>
      </c>
      <c r="Z21" s="265" t="str">
        <f>IFERROR(__xludf.DUMMYFUNCTION("""COMPUTED_VALUE"""),"Jake")</f>
        <v>Jake</v>
      </c>
      <c r="AA21" s="266">
        <f>IFERROR(__xludf.DUMMYFUNCTION("""COMPUTED_VALUE"""),2.4285714285714284)</f>
        <v>2.428571429</v>
      </c>
      <c r="AB21" s="266">
        <f>IFERROR(__xludf.DUMMYFUNCTION("""COMPUTED_VALUE"""),1.6781914463529615)</f>
        <v>1.678191446</v>
      </c>
      <c r="AC21" s="266">
        <f>IFERROR(__xludf.DUMMYFUNCTION("""COMPUTED_VALUE"""),2.3333333333333335)</f>
        <v>2.333333333</v>
      </c>
      <c r="AD21" s="265" t="str">
        <f>IFERROR(__xludf.DUMMYFUNCTION("""COMPUTED_VALUE"""),"We The People…")</f>
        <v>We The People…</v>
      </c>
      <c r="AE21" s="267" t="str">
        <f>IFERROR(__xludf.DUMMYFUNCTION("""COMPUTED_VALUE"""),"A Tribe Called Quest")</f>
        <v>A Tribe Called Quest</v>
      </c>
    </row>
    <row r="22">
      <c r="A22" s="359" t="s">
        <v>561</v>
      </c>
      <c r="B22" s="359">
        <v>5.0</v>
      </c>
      <c r="C22" s="359" t="s">
        <v>381</v>
      </c>
      <c r="D22" s="373" t="s">
        <v>381</v>
      </c>
      <c r="E22" s="361" t="s">
        <v>381</v>
      </c>
      <c r="F22" s="372" t="s">
        <v>381</v>
      </c>
      <c r="G22" s="363"/>
      <c r="H22" s="364" t="s">
        <v>382</v>
      </c>
      <c r="I22" s="365" t="s">
        <v>382</v>
      </c>
      <c r="J22" s="366"/>
      <c r="K22" s="362" t="str">
        <f>IFERROR(__xludf.DUMMYFUNCTION("IF(COUNTIF(X:X,B22)&gt;0,FILTER(AD:AD,X:X=B22),""TBD"")"),"SEE U DANCE")</f>
        <v>SEE U DANCE</v>
      </c>
      <c r="L22" s="368">
        <f t="shared" si="2"/>
        <v>5</v>
      </c>
      <c r="M22" s="362" t="str">
        <f t="shared" si="9"/>
        <v>SEE U DANCE</v>
      </c>
      <c r="N22" s="368">
        <f t="shared" si="4"/>
        <v>0</v>
      </c>
      <c r="O22" s="363" t="str">
        <f t="shared" si="10"/>
        <v>Catch Me Outside 2</v>
      </c>
      <c r="P22" s="366"/>
      <c r="Q22" s="369"/>
      <c r="R22" s="370"/>
      <c r="S22" s="363"/>
      <c r="T22" s="362"/>
      <c r="U22" s="367"/>
      <c r="V22" s="360"/>
      <c r="X22" s="298">
        <f t="shared" si="1"/>
        <v>41</v>
      </c>
      <c r="Y22" s="264">
        <f>IFERROR(__xludf.DUMMYFUNCTION("""COMPUTED_VALUE"""),45954.0)</f>
        <v>45954</v>
      </c>
      <c r="Z22" s="265" t="str">
        <f>IFERROR(__xludf.DUMMYFUNCTION("""COMPUTED_VALUE"""),"Rosey")</f>
        <v>Rosey</v>
      </c>
      <c r="AA22" s="266">
        <f>IFERROR(__xludf.DUMMYFUNCTION("""COMPUTED_VALUE"""),2.857142857142857)</f>
        <v>2.857142857</v>
      </c>
      <c r="AB22" s="266">
        <f>IFERROR(__xludf.DUMMYFUNCTION("""COMPUTED_VALUE"""),2.0303814862216996)</f>
        <v>2.030381486</v>
      </c>
      <c r="AC22" s="266">
        <f>IFERROR(__xludf.DUMMYFUNCTION("""COMPUTED_VALUE"""),3.1666666666666665)</f>
        <v>3.166666667</v>
      </c>
      <c r="AD22" s="265" t="str">
        <f>IFERROR(__xludf.DUMMYFUNCTION("""COMPUTED_VALUE"""),"Ghost Town")</f>
        <v>Ghost Town</v>
      </c>
      <c r="AE22" s="267" t="str">
        <f>IFERROR(__xludf.DUMMYFUNCTION("""COMPUTED_VALUE"""),"Kanye West, PARTYNEXTDOOR")</f>
        <v>Kanye West, PARTYNEXTDOOR</v>
      </c>
    </row>
    <row r="23">
      <c r="A23" s="359" t="s">
        <v>562</v>
      </c>
      <c r="B23" s="359">
        <v>6.0</v>
      </c>
      <c r="C23" s="359" t="s">
        <v>381</v>
      </c>
      <c r="D23" s="373" t="s">
        <v>381</v>
      </c>
      <c r="E23" s="361" t="s">
        <v>381</v>
      </c>
      <c r="F23" s="372" t="s">
        <v>381</v>
      </c>
      <c r="G23" s="363"/>
      <c r="H23" s="364" t="s">
        <v>382</v>
      </c>
      <c r="I23" s="369"/>
      <c r="J23" s="366"/>
      <c r="K23" s="370" t="str">
        <f>IFERROR(__xludf.DUMMYFUNCTION("IF(COUNTIF(X:X,B23)&gt;0,FILTER(AD:AD,X:X=B23),""TBD"")"),"The Scythe")</f>
        <v>The Scythe</v>
      </c>
      <c r="L23" s="368">
        <f t="shared" si="2"/>
        <v>4</v>
      </c>
      <c r="M23" s="370" t="str">
        <f t="shared" si="9"/>
        <v>The Scythe</v>
      </c>
      <c r="N23" s="368">
        <f t="shared" si="4"/>
        <v>1</v>
      </c>
      <c r="O23" s="363" t="str">
        <f t="shared" si="10"/>
        <v>The Seed (2.0)</v>
      </c>
      <c r="P23" s="366"/>
      <c r="Q23" s="369"/>
      <c r="R23" s="370"/>
      <c r="S23" s="371" t="s">
        <v>382</v>
      </c>
      <c r="T23" s="362"/>
      <c r="U23" s="367"/>
      <c r="V23" s="360"/>
      <c r="X23" s="298">
        <f t="shared" si="1"/>
        <v>14</v>
      </c>
      <c r="Y23" s="264">
        <f>IFERROR(__xludf.DUMMYFUNCTION("""COMPUTED_VALUE"""),45957.0)</f>
        <v>45957</v>
      </c>
      <c r="Z23" s="265" t="str">
        <f>IFERROR(__xludf.DUMMYFUNCTION("""COMPUTED_VALUE"""),"Giacomo")</f>
        <v>Giacomo</v>
      </c>
      <c r="AA23" s="266">
        <f>IFERROR(__xludf.DUMMYFUNCTION("""COMPUTED_VALUE"""),2.2857142857142856)</f>
        <v>2.285714286</v>
      </c>
      <c r="AB23" s="266">
        <f>IFERROR(__xludf.DUMMYFUNCTION("""COMPUTED_VALUE"""),0.880630571852711)</f>
        <v>0.8806305719</v>
      </c>
      <c r="AC23" s="266">
        <f>IFERROR(__xludf.DUMMYFUNCTION("""COMPUTED_VALUE"""),2.5)</f>
        <v>2.5</v>
      </c>
      <c r="AD23" s="265" t="str">
        <f>IFERROR(__xludf.DUMMYFUNCTION("""COMPUTED_VALUE"""),"GOOD BAD UGLY")</f>
        <v>GOOD BAD UGLY</v>
      </c>
      <c r="AE23" s="267" t="str">
        <f>IFERROR(__xludf.DUMMYFUNCTION("""COMPUTED_VALUE"""),"GIVEON")</f>
        <v>GIVEON</v>
      </c>
    </row>
    <row r="24">
      <c r="A24" s="359" t="s">
        <v>565</v>
      </c>
      <c r="B24" s="359">
        <v>7.0</v>
      </c>
      <c r="C24" s="359" t="s">
        <v>381</v>
      </c>
      <c r="D24" s="373" t="s">
        <v>381</v>
      </c>
      <c r="E24" s="361" t="s">
        <v>381</v>
      </c>
      <c r="F24" s="372" t="s">
        <v>381</v>
      </c>
      <c r="G24" s="363"/>
      <c r="H24" s="364" t="s">
        <v>382</v>
      </c>
      <c r="I24" s="365" t="s">
        <v>382</v>
      </c>
      <c r="J24" s="366"/>
      <c r="K24" s="369" t="str">
        <f>IFERROR(__xludf.DUMMYFUNCTION("IF(COUNTIF(X:X,B24)&gt;0,FILTER(AD:AD,X:X=B24),""TBD"")"),"Neverender")</f>
        <v>Neverender</v>
      </c>
      <c r="L24" s="368">
        <f t="shared" si="2"/>
        <v>5</v>
      </c>
      <c r="M24" s="369" t="str">
        <f t="shared" si="9"/>
        <v>Neverender</v>
      </c>
      <c r="N24" s="368">
        <f t="shared" si="4"/>
        <v>0</v>
      </c>
      <c r="O24" s="369" t="str">
        <f t="shared" si="10"/>
        <v>Worlds away</v>
      </c>
      <c r="P24" s="366"/>
      <c r="Q24" s="369"/>
      <c r="R24" s="370"/>
      <c r="S24" s="363"/>
      <c r="T24" s="362"/>
      <c r="U24" s="367"/>
      <c r="V24" s="360"/>
      <c r="X24" s="298">
        <f t="shared" si="1"/>
        <v>43</v>
      </c>
      <c r="Y24" s="264">
        <f>IFERROR(__xludf.DUMMYFUNCTION("""COMPUTED_VALUE"""),45959.0)</f>
        <v>45959</v>
      </c>
      <c r="Z24" s="265" t="str">
        <f>IFERROR(__xludf.DUMMYFUNCTION("""COMPUTED_VALUE"""),"Parker")</f>
        <v>Parker</v>
      </c>
      <c r="AA24" s="266">
        <f>IFERROR(__xludf.DUMMYFUNCTION("""COMPUTED_VALUE"""),3.142857142857143)</f>
        <v>3.142857143</v>
      </c>
      <c r="AB24" s="266">
        <f>IFERROR(__xludf.DUMMYFUNCTION("""COMPUTED_VALUE"""),1.8844151368961313)</f>
        <v>1.884415137</v>
      </c>
      <c r="AC24" s="266">
        <f>IFERROR(__xludf.DUMMYFUNCTION("""COMPUTED_VALUE"""),3.3333333333333335)</f>
        <v>3.333333333</v>
      </c>
      <c r="AD24" s="265" t="str">
        <f>IFERROR(__xludf.DUMMYFUNCTION("""COMPUTED_VALUE"""),"Too Bad I Have to Destroy You Now")</f>
        <v>Too Bad I Have to Destroy You Now</v>
      </c>
      <c r="AE24" s="267" t="str">
        <f>IFERROR(__xludf.DUMMYFUNCTION("""COMPUTED_VALUE"""),"Kid Cudi")</f>
        <v>Kid Cudi</v>
      </c>
    </row>
    <row r="25">
      <c r="A25" s="359" t="s">
        <v>566</v>
      </c>
      <c r="B25" s="359">
        <v>8.0</v>
      </c>
      <c r="C25" s="359" t="s">
        <v>381</v>
      </c>
      <c r="D25" s="373" t="s">
        <v>381</v>
      </c>
      <c r="E25" s="361" t="s">
        <v>381</v>
      </c>
      <c r="F25" s="362"/>
      <c r="G25" s="371" t="s">
        <v>382</v>
      </c>
      <c r="H25" s="364"/>
      <c r="I25" s="369"/>
      <c r="J25" s="366"/>
      <c r="K25" s="367" t="str">
        <f>IFERROR(__xludf.DUMMYFUNCTION("IF(COUNTIF(X:X,B25)&gt;0,FILTER(AD:AD,X:X=B25),""TBD"")"),"Send it Back")</f>
        <v>Send it Back</v>
      </c>
      <c r="L25" s="368">
        <f t="shared" si="2"/>
        <v>3</v>
      </c>
      <c r="M25" s="367" t="str">
        <f t="shared" si="9"/>
        <v>Send it Back</v>
      </c>
      <c r="N25" s="368">
        <f t="shared" si="4"/>
        <v>2</v>
      </c>
      <c r="O25" s="362" t="str">
        <f t="shared" si="10"/>
        <v>That's You</v>
      </c>
      <c r="P25" s="366"/>
      <c r="Q25" s="369"/>
      <c r="R25" s="364" t="s">
        <v>382</v>
      </c>
      <c r="S25" s="363"/>
      <c r="T25" s="372" t="s">
        <v>381</v>
      </c>
      <c r="U25" s="367"/>
      <c r="V25" s="360"/>
      <c r="X25" s="298">
        <f t="shared" si="1"/>
        <v>46</v>
      </c>
      <c r="Y25" s="264">
        <f>IFERROR(__xludf.DUMMYFUNCTION("""COMPUTED_VALUE"""),45961.0)</f>
        <v>45961</v>
      </c>
      <c r="Z25" s="265" t="str">
        <f>IFERROR(__xludf.DUMMYFUNCTION("""COMPUTED_VALUE"""),"Logan")</f>
        <v>Logan</v>
      </c>
      <c r="AA25" s="266">
        <f>IFERROR(__xludf.DUMMYFUNCTION("""COMPUTED_VALUE"""),3.2857142857142856)</f>
        <v>3.285714286</v>
      </c>
      <c r="AB25" s="266">
        <f>IFERROR(__xludf.DUMMYFUNCTION("""COMPUTED_VALUE"""),1.749635530559413)</f>
        <v>1.749635531</v>
      </c>
      <c r="AC25" s="266">
        <f>IFERROR(__xludf.DUMMYFUNCTION("""COMPUTED_VALUE"""),3.3333333333333335)</f>
        <v>3.333333333</v>
      </c>
      <c r="AD25" s="265" t="str">
        <f>IFERROR(__xludf.DUMMYFUNCTION("""COMPUTED_VALUE"""),"Lavender Town")</f>
        <v>Lavender Town</v>
      </c>
      <c r="AE25" s="267" t="str">
        <f>IFERROR(__xludf.DUMMYFUNCTION("""COMPUTED_VALUE"""),"Bitmaster")</f>
        <v>Bitmaster</v>
      </c>
    </row>
    <row r="26">
      <c r="A26" s="359" t="s">
        <v>569</v>
      </c>
      <c r="B26" s="359">
        <v>9.0</v>
      </c>
      <c r="C26" s="359" t="s">
        <v>381</v>
      </c>
      <c r="D26" s="373" t="s">
        <v>381</v>
      </c>
      <c r="E26" s="367"/>
      <c r="F26" s="362"/>
      <c r="G26" s="363"/>
      <c r="H26" s="364" t="s">
        <v>382</v>
      </c>
      <c r="I26" s="365" t="s">
        <v>382</v>
      </c>
      <c r="J26" s="366"/>
      <c r="K26" s="363" t="str">
        <f>IFERROR(__xludf.DUMMYFUNCTION("IF(COUNTIF(X:X,B26)&gt;0,FILTER(AD:AD,X:X=B26),""TBD"")"),"in the pool")</f>
        <v>in the pool</v>
      </c>
      <c r="L26" s="368">
        <f t="shared" si="2"/>
        <v>3</v>
      </c>
      <c r="M26" s="363" t="str">
        <f t="shared" si="9"/>
        <v>in the pool</v>
      </c>
      <c r="N26" s="368">
        <f t="shared" si="4"/>
        <v>3</v>
      </c>
      <c r="O26" s="363" t="str">
        <f t="shared" si="10"/>
        <v>Ghost Town</v>
      </c>
      <c r="P26" s="366"/>
      <c r="Q26" s="369"/>
      <c r="R26" s="370"/>
      <c r="S26" s="371" t="s">
        <v>382</v>
      </c>
      <c r="T26" s="372" t="s">
        <v>381</v>
      </c>
      <c r="U26" s="361" t="s">
        <v>381</v>
      </c>
      <c r="V26" s="360"/>
      <c r="X26" s="298">
        <f t="shared" si="1"/>
        <v>7</v>
      </c>
      <c r="Y26" s="264">
        <f>IFERROR(__xludf.DUMMYFUNCTION("""COMPUTED_VALUE"""),45964.0)</f>
        <v>45964</v>
      </c>
      <c r="Z26" s="265" t="str">
        <f>IFERROR(__xludf.DUMMYFUNCTION("""COMPUTED_VALUE"""),"Weston")</f>
        <v>Weston</v>
      </c>
      <c r="AA26" s="266">
        <f>IFERROR(__xludf.DUMMYFUNCTION("""COMPUTED_VALUE"""),1.8571428571428572)</f>
        <v>1.857142857</v>
      </c>
      <c r="AB26" s="266">
        <f>IFERROR(__xludf.DUMMYFUNCTION("""COMPUTED_VALUE"""),1.4568627181693672)</f>
        <v>1.456862718</v>
      </c>
      <c r="AC26" s="266">
        <f>IFERROR(__xludf.DUMMYFUNCTION("""COMPUTED_VALUE"""),2.0)</f>
        <v>2</v>
      </c>
      <c r="AD26" s="265" t="str">
        <f>IFERROR(__xludf.DUMMYFUNCTION("""COMPUTED_VALUE"""),"Neverender")</f>
        <v>Neverender</v>
      </c>
      <c r="AE26" s="267" t="str">
        <f>IFERROR(__xludf.DUMMYFUNCTION("""COMPUTED_VALUE"""),"Justice &amp; Tame Impala")</f>
        <v>Justice &amp; Tame Impala</v>
      </c>
    </row>
    <row r="27">
      <c r="A27" s="359" t="s">
        <v>570</v>
      </c>
      <c r="B27" s="359">
        <v>10.0</v>
      </c>
      <c r="C27" s="359" t="s">
        <v>381</v>
      </c>
      <c r="D27" s="373" t="s">
        <v>381</v>
      </c>
      <c r="E27" s="367"/>
      <c r="F27" s="362"/>
      <c r="G27" s="363"/>
      <c r="H27" s="370"/>
      <c r="I27" s="369"/>
      <c r="J27" s="366"/>
      <c r="K27" s="369" t="str">
        <f>IFERROR(__xludf.DUMMYFUNCTION("IF(COUNTIF(X:X,B27)&gt;0,FILTER(AD:AD,X:X=B27),""TBD"")"),"Clover")</f>
        <v>Clover</v>
      </c>
      <c r="L27" s="368">
        <f t="shared" si="2"/>
        <v>1</v>
      </c>
      <c r="M27" s="370" t="str">
        <f t="shared" si="9"/>
        <v>By and By</v>
      </c>
      <c r="N27" s="368">
        <f t="shared" si="4"/>
        <v>4</v>
      </c>
      <c r="O27" s="370" t="str">
        <f t="shared" si="10"/>
        <v>By and By</v>
      </c>
      <c r="P27" s="366"/>
      <c r="Q27" s="369"/>
      <c r="R27" s="364" t="s">
        <v>382</v>
      </c>
      <c r="S27" s="371" t="s">
        <v>382</v>
      </c>
      <c r="T27" s="372" t="s">
        <v>381</v>
      </c>
      <c r="U27" s="361" t="s">
        <v>381</v>
      </c>
      <c r="V27" s="360"/>
      <c r="X27" s="298">
        <f t="shared" si="1"/>
        <v>9</v>
      </c>
      <c r="Y27" s="264">
        <f>IFERROR(__xludf.DUMMYFUNCTION("""COMPUTED_VALUE"""),45966.0)</f>
        <v>45966</v>
      </c>
      <c r="Z27" s="265" t="str">
        <f>IFERROR(__xludf.DUMMYFUNCTION("""COMPUTED_VALUE"""),"Rosey")</f>
        <v>Rosey</v>
      </c>
      <c r="AA27" s="266">
        <f>IFERROR(__xludf.DUMMYFUNCTION("""COMPUTED_VALUE"""),2.142857142857143)</f>
        <v>2.142857143</v>
      </c>
      <c r="AB27" s="266">
        <f>IFERROR(__xludf.DUMMYFUNCTION("""COMPUTED_VALUE"""),0.8329931278350429)</f>
        <v>0.8329931278</v>
      </c>
      <c r="AC27" s="266">
        <f>IFERROR(__xludf.DUMMYFUNCTION("""COMPUTED_VALUE"""),2.3333333333333335)</f>
        <v>2.333333333</v>
      </c>
      <c r="AD27" s="265" t="str">
        <f>IFERROR(__xludf.DUMMYFUNCTION("""COMPUTED_VALUE"""),"in the pool")</f>
        <v>in the pool</v>
      </c>
      <c r="AE27" s="267" t="str">
        <f>IFERROR(__xludf.DUMMYFUNCTION("""COMPUTED_VALUE"""),"kensuke ushio")</f>
        <v>kensuke ushio</v>
      </c>
    </row>
    <row r="28">
      <c r="A28" s="359" t="s">
        <v>573</v>
      </c>
      <c r="B28" s="359">
        <v>11.0</v>
      </c>
      <c r="C28" s="359" t="s">
        <v>381</v>
      </c>
      <c r="D28" s="360"/>
      <c r="E28" s="361" t="s">
        <v>381</v>
      </c>
      <c r="F28" s="372" t="s">
        <v>381</v>
      </c>
      <c r="G28" s="371" t="s">
        <v>382</v>
      </c>
      <c r="H28" s="370"/>
      <c r="I28" s="365" t="s">
        <v>382</v>
      </c>
      <c r="J28" s="366"/>
      <c r="K28" s="363" t="str">
        <f>IFERROR(__xludf.DUMMYFUNCTION("IF(COUNTIF(X:X,B28)&gt;0,FILTER(AD:AD,X:X=B28),""TBD"")"),"Chains &amp; Whips")</f>
        <v>Chains &amp; Whips</v>
      </c>
      <c r="L28" s="368">
        <f t="shared" si="2"/>
        <v>4</v>
      </c>
      <c r="M28" s="363" t="str">
        <f t="shared" si="9"/>
        <v>Chains &amp; Whips</v>
      </c>
      <c r="N28" s="368">
        <f t="shared" si="4"/>
        <v>2</v>
      </c>
      <c r="O28" s="369" t="str">
        <f t="shared" si="10"/>
        <v>Don't kill the party</v>
      </c>
      <c r="P28" s="366"/>
      <c r="Q28" s="369"/>
      <c r="R28" s="364" t="s">
        <v>382</v>
      </c>
      <c r="S28" s="363"/>
      <c r="T28" s="362"/>
      <c r="U28" s="367"/>
      <c r="V28" s="373" t="s">
        <v>381</v>
      </c>
      <c r="X28" s="298">
        <f t="shared" si="1"/>
        <v>11</v>
      </c>
      <c r="Y28" s="264">
        <f>IFERROR(__xludf.DUMMYFUNCTION("""COMPUTED_VALUE"""),45968.0)</f>
        <v>45968</v>
      </c>
      <c r="Z28" s="265" t="str">
        <f>IFERROR(__xludf.DUMMYFUNCTION("""COMPUTED_VALUE"""),"Rosey")</f>
        <v>Rosey</v>
      </c>
      <c r="AA28" s="266">
        <f>IFERROR(__xludf.DUMMYFUNCTION("""COMPUTED_VALUE"""),2.142857142857143)</f>
        <v>2.142857143</v>
      </c>
      <c r="AB28" s="266">
        <f>IFERROR(__xludf.DUMMYFUNCTION("""COMPUTED_VALUE"""),1.456862718169367)</f>
        <v>1.456862718</v>
      </c>
      <c r="AC28" s="266">
        <f>IFERROR(__xludf.DUMMYFUNCTION("""COMPUTED_VALUE"""),2.3333333333333335)</f>
        <v>2.333333333</v>
      </c>
      <c r="AD28" s="265" t="str">
        <f>IFERROR(__xludf.DUMMYFUNCTION("""COMPUTED_VALUE"""),"Chains &amp; Whips")</f>
        <v>Chains &amp; Whips</v>
      </c>
      <c r="AE28" s="267" t="str">
        <f>IFERROR(__xludf.DUMMYFUNCTION("""COMPUTED_VALUE"""),"Clipse, Kendrick Lamar, Pharrell, Pusha T")</f>
        <v>Clipse, Kendrick Lamar, Pharrell, Pusha T</v>
      </c>
    </row>
    <row r="29">
      <c r="A29" s="359" t="s">
        <v>574</v>
      </c>
      <c r="B29" s="359">
        <v>12.0</v>
      </c>
      <c r="C29" s="359" t="s">
        <v>381</v>
      </c>
      <c r="D29" s="360"/>
      <c r="E29" s="361" t="s">
        <v>381</v>
      </c>
      <c r="F29" s="372" t="s">
        <v>381</v>
      </c>
      <c r="G29" s="371" t="s">
        <v>382</v>
      </c>
      <c r="H29" s="370"/>
      <c r="I29" s="369"/>
      <c r="J29" s="366"/>
      <c r="K29" s="367" t="str">
        <f>IFERROR(__xludf.DUMMYFUNCTION("IF(COUNTIF(X:X,B29)&gt;0,FILTER(AD:AD,X:X=B29),""TBD"")"),"drive ME crazy!")</f>
        <v>drive ME crazy!</v>
      </c>
      <c r="L29" s="368">
        <f t="shared" si="2"/>
        <v>3</v>
      </c>
      <c r="M29" s="367" t="str">
        <f t="shared" si="9"/>
        <v>drive ME crazy!</v>
      </c>
      <c r="N29" s="368">
        <f t="shared" si="4"/>
        <v>2</v>
      </c>
      <c r="O29" s="369" t="str">
        <f t="shared" si="10"/>
        <v>Black butterflies and Déjà vu</v>
      </c>
      <c r="P29" s="366"/>
      <c r="Q29" s="369"/>
      <c r="R29" s="364" t="s">
        <v>382</v>
      </c>
      <c r="S29" s="363"/>
      <c r="T29" s="362"/>
      <c r="U29" s="367"/>
      <c r="V29" s="373" t="s">
        <v>381</v>
      </c>
      <c r="X29" s="298">
        <f t="shared" si="1"/>
        <v>17</v>
      </c>
      <c r="Y29" s="264">
        <f>IFERROR(__xludf.DUMMYFUNCTION("""COMPUTED_VALUE"""),45971.0)</f>
        <v>45971</v>
      </c>
      <c r="Z29" s="265" t="str">
        <f>IFERROR(__xludf.DUMMYFUNCTION("""COMPUTED_VALUE"""),"Weston")</f>
        <v>Weston</v>
      </c>
      <c r="AA29" s="266">
        <f>IFERROR(__xludf.DUMMYFUNCTION("""COMPUTED_VALUE"""),2.2857142857142856)</f>
        <v>2.285714286</v>
      </c>
      <c r="AB29" s="266">
        <f>IFERROR(__xludf.DUMMYFUNCTION("""COMPUTED_VALUE"""),1.6659862556700857)</f>
        <v>1.665986256</v>
      </c>
      <c r="AC29" s="266">
        <f>IFERROR(__xludf.DUMMYFUNCTION("""COMPUTED_VALUE"""),2.5)</f>
        <v>2.5</v>
      </c>
      <c r="AD29" s="265" t="str">
        <f>IFERROR(__xludf.DUMMYFUNCTION("""COMPUTED_VALUE"""),"Brick by boring Brick")</f>
        <v>Brick by boring Brick</v>
      </c>
      <c r="AE29" s="267" t="str">
        <f>IFERROR(__xludf.DUMMYFUNCTION("""COMPUTED_VALUE"""),"Paramore")</f>
        <v>Paramore</v>
      </c>
    </row>
    <row r="30">
      <c r="A30" s="359" t="s">
        <v>575</v>
      </c>
      <c r="B30" s="359">
        <v>13.0</v>
      </c>
      <c r="C30" s="359" t="s">
        <v>381</v>
      </c>
      <c r="D30" s="360"/>
      <c r="E30" s="361" t="s">
        <v>381</v>
      </c>
      <c r="F30" s="372" t="s">
        <v>381</v>
      </c>
      <c r="G30" s="363"/>
      <c r="H30" s="364" t="s">
        <v>382</v>
      </c>
      <c r="I30" s="365" t="s">
        <v>382</v>
      </c>
      <c r="J30" s="366"/>
      <c r="K30" s="362" t="str">
        <f>IFERROR(__xludf.DUMMYFUNCTION("IF(COUNTIF(X:X,B30)&gt;0,FILTER(AD:AD,X:X=B30),""TBD"")"),"La Perla")</f>
        <v>La Perla</v>
      </c>
      <c r="L30" s="368">
        <f t="shared" si="2"/>
        <v>4</v>
      </c>
      <c r="M30" s="362" t="str">
        <f t="shared" si="9"/>
        <v>La Perla</v>
      </c>
      <c r="N30" s="368">
        <f t="shared" si="4"/>
        <v>1</v>
      </c>
      <c r="O30" s="363" t="str">
        <f t="shared" si="10"/>
        <v>RNP</v>
      </c>
      <c r="P30" s="366"/>
      <c r="Q30" s="369"/>
      <c r="R30" s="370"/>
      <c r="S30" s="363"/>
      <c r="T30" s="362"/>
      <c r="U30" s="367"/>
      <c r="V30" s="373" t="s">
        <v>381</v>
      </c>
      <c r="X30" s="298">
        <f t="shared" si="1"/>
        <v>3</v>
      </c>
      <c r="Y30" s="264">
        <f>IFERROR(__xludf.DUMMYFUNCTION("""COMPUTED_VALUE"""),45973.0)</f>
        <v>45973</v>
      </c>
      <c r="Z30" s="265" t="str">
        <f>IFERROR(__xludf.DUMMYFUNCTION("""COMPUTED_VALUE"""),"Giacomo")</f>
        <v>Giacomo</v>
      </c>
      <c r="AA30" s="266">
        <f>IFERROR(__xludf.DUMMYFUNCTION("""COMPUTED_VALUE"""),1.7142857142857142)</f>
        <v>1.714285714</v>
      </c>
      <c r="AB30" s="266">
        <f>IFERROR(__xludf.DUMMYFUNCTION("""COMPUTED_VALUE"""),1.0301575072754254)</f>
        <v>1.030157507</v>
      </c>
      <c r="AC30" s="266">
        <f>IFERROR(__xludf.DUMMYFUNCTION("""COMPUTED_VALUE"""),1.8333333333333333)</f>
        <v>1.833333333</v>
      </c>
      <c r="AD30" s="265" t="str">
        <f>IFERROR(__xludf.DUMMYFUNCTION("""COMPUTED_VALUE"""),"Samurai")</f>
        <v>Samurai</v>
      </c>
      <c r="AE30" s="267" t="str">
        <f>IFERROR(__xludf.DUMMYFUNCTION("""COMPUTED_VALUE"""),"Lupe Fiasco")</f>
        <v>Lupe Fiasco</v>
      </c>
    </row>
    <row r="31">
      <c r="A31" s="359" t="s">
        <v>579</v>
      </c>
      <c r="B31" s="359">
        <v>14.0</v>
      </c>
      <c r="C31" s="359" t="s">
        <v>381</v>
      </c>
      <c r="D31" s="360"/>
      <c r="E31" s="361" t="s">
        <v>381</v>
      </c>
      <c r="F31" s="372" t="s">
        <v>381</v>
      </c>
      <c r="G31" s="363"/>
      <c r="H31" s="364" t="s">
        <v>382</v>
      </c>
      <c r="I31" s="365" t="s">
        <v>382</v>
      </c>
      <c r="J31" s="366"/>
      <c r="K31" s="362" t="str">
        <f>IFERROR(__xludf.DUMMYFUNCTION("IF(COUNTIF(X:X,B31)&gt;0,FILTER(AD:AD,X:X=B31),""TBD"")"),"GOOD BAD UGLY")</f>
        <v>GOOD BAD UGLY</v>
      </c>
      <c r="L31" s="368">
        <f t="shared" si="2"/>
        <v>4</v>
      </c>
      <c r="M31" s="362" t="str">
        <f t="shared" si="9"/>
        <v>GOOD BAD UGLY</v>
      </c>
      <c r="N31" s="368">
        <f t="shared" si="4"/>
        <v>1</v>
      </c>
      <c r="O31" s="360" t="str">
        <f t="shared" si="10"/>
        <v>Mystery Lady</v>
      </c>
      <c r="P31" s="366"/>
      <c r="Q31" s="369"/>
      <c r="R31" s="370"/>
      <c r="S31" s="363"/>
      <c r="T31" s="362"/>
      <c r="U31" s="367"/>
      <c r="V31" s="373" t="s">
        <v>381</v>
      </c>
      <c r="X31" s="298">
        <f t="shared" si="1"/>
        <v>27</v>
      </c>
      <c r="Y31" s="264">
        <f>IFERROR(__xludf.DUMMYFUNCTION("""COMPUTED_VALUE"""),45975.0)</f>
        <v>45975</v>
      </c>
      <c r="Z31" s="265" t="str">
        <f>IFERROR(__xludf.DUMMYFUNCTION("""COMPUTED_VALUE"""),"Logan")</f>
        <v>Logan</v>
      </c>
      <c r="AA31" s="266">
        <f>IFERROR(__xludf.DUMMYFUNCTION("""COMPUTED_VALUE"""),2.5714285714285716)</f>
        <v>2.571428571</v>
      </c>
      <c r="AB31" s="266">
        <f>IFERROR(__xludf.DUMMYFUNCTION("""COMPUTED_VALUE"""),1.3997084244475304)</f>
        <v>1.399708424</v>
      </c>
      <c r="AC31" s="266">
        <f>IFERROR(__xludf.DUMMYFUNCTION("""COMPUTED_VALUE"""),2.8333333333333335)</f>
        <v>2.833333333</v>
      </c>
      <c r="AD31" s="265" t="str">
        <f>IFERROR(__xludf.DUMMYFUNCTION("""COMPUTED_VALUE"""),"HISS")</f>
        <v>HISS</v>
      </c>
      <c r="AE31" s="267" t="str">
        <f>IFERROR(__xludf.DUMMYFUNCTION("""COMPUTED_VALUE"""),"Megan Thee Stallion")</f>
        <v>Megan Thee Stallion</v>
      </c>
    </row>
    <row r="32">
      <c r="A32" s="359" t="s">
        <v>580</v>
      </c>
      <c r="B32" s="359" t="s">
        <v>381</v>
      </c>
      <c r="C32" s="359" t="s">
        <v>381</v>
      </c>
      <c r="D32" s="373" t="s">
        <v>381</v>
      </c>
      <c r="E32" s="367"/>
      <c r="F32" s="362"/>
      <c r="G32" s="371" t="s">
        <v>382</v>
      </c>
      <c r="H32" s="364" t="s">
        <v>382</v>
      </c>
      <c r="I32" s="369"/>
      <c r="J32" s="366"/>
      <c r="K32" s="360" t="str">
        <f t="shared" ref="K32:K33" si="11">M50</f>
        <v>Soap</v>
      </c>
      <c r="L32" s="368">
        <f t="shared" si="2"/>
        <v>3</v>
      </c>
      <c r="M32" s="360" t="str">
        <f t="shared" si="9"/>
        <v>Soap</v>
      </c>
      <c r="N32" s="368">
        <f t="shared" si="4"/>
        <v>2</v>
      </c>
      <c r="O32" s="369" t="str">
        <f>M49</f>
        <v>Brick by boring Brick</v>
      </c>
      <c r="P32" s="366"/>
      <c r="Q32" s="369"/>
      <c r="R32" s="370"/>
      <c r="S32" s="363"/>
      <c r="T32" s="372" t="s">
        <v>381</v>
      </c>
      <c r="U32" s="361" t="s">
        <v>381</v>
      </c>
      <c r="V32" s="360"/>
      <c r="X32" s="298">
        <f t="shared" si="1"/>
        <v>36</v>
      </c>
      <c r="Y32" s="264">
        <f>IFERROR(__xludf.DUMMYFUNCTION("""COMPUTED_VALUE"""),45978.0)</f>
        <v>45978</v>
      </c>
      <c r="Z32" s="265" t="str">
        <f>IFERROR(__xludf.DUMMYFUNCTION("""COMPUTED_VALUE"""),"Logan")</f>
        <v>Logan</v>
      </c>
      <c r="AA32" s="266">
        <f>IFERROR(__xludf.DUMMYFUNCTION("""COMPUTED_VALUE"""),2.857142857142857)</f>
        <v>2.857142857</v>
      </c>
      <c r="AB32" s="266">
        <f>IFERROR(__xludf.DUMMYFUNCTION("""COMPUTED_VALUE"""),0.8329931278350429)</f>
        <v>0.8329931278</v>
      </c>
      <c r="AC32" s="266">
        <f>IFERROR(__xludf.DUMMYFUNCTION("""COMPUTED_VALUE"""),3.1666666666666665)</f>
        <v>3.166666667</v>
      </c>
      <c r="AD32" s="265" t="str">
        <f>IFERROR(__xludf.DUMMYFUNCTION("""COMPUTED_VALUE"""),"Houston")</f>
        <v>Houston</v>
      </c>
      <c r="AE32" s="267" t="str">
        <f>IFERROR(__xludf.DUMMYFUNCTION("""COMPUTED_VALUE"""),"Jean Dawson")</f>
        <v>Jean Dawson</v>
      </c>
    </row>
    <row r="33">
      <c r="A33" s="359" t="s">
        <v>582</v>
      </c>
      <c r="B33" s="359" t="s">
        <v>381</v>
      </c>
      <c r="C33" s="359" t="s">
        <v>381</v>
      </c>
      <c r="D33" s="373" t="s">
        <v>381</v>
      </c>
      <c r="E33" s="361" t="s">
        <v>381</v>
      </c>
      <c r="F33" s="362"/>
      <c r="G33" s="371" t="s">
        <v>382</v>
      </c>
      <c r="H33" s="364" t="s">
        <v>382</v>
      </c>
      <c r="I33" s="365" t="s">
        <v>382</v>
      </c>
      <c r="J33" s="366"/>
      <c r="K33" s="363" t="str">
        <f t="shared" si="11"/>
        <v>Hell of a Night</v>
      </c>
      <c r="L33" s="368">
        <f t="shared" si="2"/>
        <v>5</v>
      </c>
      <c r="M33" s="363" t="str">
        <f t="shared" si="9"/>
        <v>Hell of a Night</v>
      </c>
      <c r="N33" s="368">
        <f t="shared" si="4"/>
        <v>1</v>
      </c>
      <c r="O33" s="366" t="str">
        <f>M48</f>
        <v>We The People…</v>
      </c>
      <c r="P33" s="366"/>
      <c r="Q33" s="369"/>
      <c r="R33" s="370"/>
      <c r="S33" s="363"/>
      <c r="T33" s="372" t="s">
        <v>381</v>
      </c>
      <c r="U33" s="367"/>
      <c r="V33" s="360"/>
      <c r="X33" s="298">
        <f t="shared" si="1"/>
        <v>29</v>
      </c>
      <c r="Y33" s="264">
        <f>IFERROR(__xludf.DUMMYFUNCTION("""COMPUTED_VALUE"""),45980.0)</f>
        <v>45980</v>
      </c>
      <c r="Z33" s="265" t="str">
        <f>IFERROR(__xludf.DUMMYFUNCTION("""COMPUTED_VALUE"""),"Weston")</f>
        <v>Weston</v>
      </c>
      <c r="AA33" s="266">
        <f>IFERROR(__xludf.DUMMYFUNCTION("""COMPUTED_VALUE"""),2.5714285714285716)</f>
        <v>2.571428571</v>
      </c>
      <c r="AB33" s="266">
        <f>IFERROR(__xludf.DUMMYFUNCTION("""COMPUTED_VALUE"""),1.6781914463529615)</f>
        <v>1.678191446</v>
      </c>
      <c r="AC33" s="266">
        <f>IFERROR(__xludf.DUMMYFUNCTION("""COMPUTED_VALUE"""),2.8333333333333335)</f>
        <v>2.833333333</v>
      </c>
      <c r="AD33" s="265" t="str">
        <f>IFERROR(__xludf.DUMMYFUNCTION("""COMPUTED_VALUE"""),"Cops &amp; Robbers")</f>
        <v>Cops &amp; Robbers</v>
      </c>
      <c r="AE33" s="267" t="str">
        <f>IFERROR(__xludf.DUMMYFUNCTION("""COMPUTED_VALUE"""),"Sammy Virji, Skepta")</f>
        <v>Sammy Virji, Skepta</v>
      </c>
    </row>
    <row r="34">
      <c r="A34" s="359" t="s">
        <v>583</v>
      </c>
      <c r="B34" s="359">
        <v>32.0</v>
      </c>
      <c r="C34" s="359">
        <v>33.0</v>
      </c>
      <c r="D34" s="360"/>
      <c r="E34" s="367"/>
      <c r="F34" s="362"/>
      <c r="G34" s="363"/>
      <c r="H34" s="364" t="s">
        <v>382</v>
      </c>
      <c r="I34" s="365" t="s">
        <v>382</v>
      </c>
      <c r="J34" s="366"/>
      <c r="K34" s="363" t="str">
        <f>IFERROR(__xludf.DUMMYFUNCTION("IF(COUNTIF(X:X,B34)&gt;0,FILTER(AD:AD,X:X=B34),""TBD"")"),"Cheesin'")</f>
        <v>Cheesin'</v>
      </c>
      <c r="L34" s="368">
        <f t="shared" si="2"/>
        <v>2</v>
      </c>
      <c r="M34" s="363" t="str">
        <f t="shared" si="9"/>
        <v>You And Me</v>
      </c>
      <c r="N34" s="368">
        <f t="shared" si="4"/>
        <v>4</v>
      </c>
      <c r="O34" s="363" t="str">
        <f>IFERROR(__xludf.DUMMYFUNCTION("IF(COUNTIF(X:X,C34)&gt;0,FILTER(AD:AD,X:X=C34),""TBD"")"),"You And Me")</f>
        <v>You And Me</v>
      </c>
      <c r="P34" s="366"/>
      <c r="Q34" s="369"/>
      <c r="R34" s="370"/>
      <c r="S34" s="371" t="s">
        <v>382</v>
      </c>
      <c r="T34" s="372" t="s">
        <v>381</v>
      </c>
      <c r="U34" s="361" t="s">
        <v>381</v>
      </c>
      <c r="V34" s="373" t="s">
        <v>381</v>
      </c>
      <c r="X34" s="298">
        <f t="shared" si="1"/>
        <v>47</v>
      </c>
      <c r="Y34" s="264">
        <f>IFERROR(__xludf.DUMMYFUNCTION("""COMPUTED_VALUE"""),45982.0)</f>
        <v>45982</v>
      </c>
      <c r="Z34" s="265" t="str">
        <f>IFERROR(__xludf.DUMMYFUNCTION("""COMPUTED_VALUE"""),"TTAC")</f>
        <v>TTAC</v>
      </c>
      <c r="AA34" s="266">
        <f>IFERROR(__xludf.DUMMYFUNCTION("""COMPUTED_VALUE"""),3.2857142857142856)</f>
        <v>3.285714286</v>
      </c>
      <c r="AB34" s="266">
        <f>IFERROR(__xludf.DUMMYFUNCTION("""COMPUTED_VALUE"""),1.0301575072754254)</f>
        <v>1.030157507</v>
      </c>
      <c r="AC34" s="266">
        <f>IFERROR(__xludf.DUMMYFUNCTION("""COMPUTED_VALUE"""),3.5)</f>
        <v>3.5</v>
      </c>
      <c r="AD34" s="265" t="str">
        <f>IFERROR(__xludf.DUMMYFUNCTION("""COMPUTED_VALUE"""),"High No More")</f>
        <v>High No More</v>
      </c>
      <c r="AE34" s="267" t="str">
        <f>IFERROR(__xludf.DUMMYFUNCTION("""COMPUTED_VALUE"""),"Hajaj")</f>
        <v>Hajaj</v>
      </c>
    </row>
    <row r="35">
      <c r="A35" s="359" t="s">
        <v>585</v>
      </c>
      <c r="B35" s="359">
        <v>31.0</v>
      </c>
      <c r="C35" s="359">
        <v>34.0</v>
      </c>
      <c r="D35" s="373" t="s">
        <v>381</v>
      </c>
      <c r="E35" s="361" t="s">
        <v>381</v>
      </c>
      <c r="F35" s="372" t="s">
        <v>381</v>
      </c>
      <c r="G35" s="363"/>
      <c r="H35" s="370"/>
      <c r="I35" s="369"/>
      <c r="J35" s="366"/>
      <c r="K35" s="367" t="str">
        <f>IFERROR(__xludf.DUMMYFUNCTION("IF(COUNTIF(X:X,B35)&gt;0,FILTER(AD:AD,X:X=B35),""TBD"")"),"Image")</f>
        <v>Image</v>
      </c>
      <c r="L35" s="368">
        <f t="shared" si="2"/>
        <v>3</v>
      </c>
      <c r="M35" s="367" t="str">
        <f t="shared" si="9"/>
        <v>Image</v>
      </c>
      <c r="N35" s="368">
        <f t="shared" si="4"/>
        <v>1</v>
      </c>
      <c r="O35" s="363" t="str">
        <f>IFERROR(__xludf.DUMMYFUNCTION("IF(COUNTIF(X:X,C35)&gt;0,FILTER(AD:AD,X:X=C35),""TBD"")"),"96 Quite Bitter Beings")</f>
        <v>96 Quite Bitter Beings</v>
      </c>
      <c r="P35" s="366"/>
      <c r="Q35" s="369"/>
      <c r="R35" s="364" t="s">
        <v>382</v>
      </c>
      <c r="S35" s="363"/>
      <c r="T35" s="362"/>
      <c r="U35" s="367"/>
      <c r="V35" s="360"/>
      <c r="X35" s="298">
        <f t="shared" si="1"/>
        <v>25</v>
      </c>
      <c r="Y35" s="264">
        <f>IFERROR(__xludf.DUMMYFUNCTION("""COMPUTED_VALUE"""),45985.0)</f>
        <v>45985</v>
      </c>
      <c r="Z35" s="265" t="str">
        <f>IFERROR(__xludf.DUMMYFUNCTION("""COMPUTED_VALUE"""),"Giacomo")</f>
        <v>Giacomo</v>
      </c>
      <c r="AA35" s="266">
        <f>IFERROR(__xludf.DUMMYFUNCTION("""COMPUTED_VALUE"""),2.5714285714285716)</f>
        <v>2.571428571</v>
      </c>
      <c r="AB35" s="266">
        <f>IFERROR(__xludf.DUMMYFUNCTION("""COMPUTED_VALUE"""),0.9035079029052512)</f>
        <v>0.9035079029</v>
      </c>
      <c r="AC35" s="266">
        <f>IFERROR(__xludf.DUMMYFUNCTION("""COMPUTED_VALUE"""),2.5)</f>
        <v>2.5</v>
      </c>
      <c r="AD35" s="265" t="str">
        <f>IFERROR(__xludf.DUMMYFUNCTION("""COMPUTED_VALUE"""),"That's You")</f>
        <v>That's You</v>
      </c>
      <c r="AE35" s="267" t="str">
        <f>IFERROR(__xludf.DUMMYFUNCTION("""COMPUTED_VALUE"""),"Lucky Daye")</f>
        <v>Lucky Daye</v>
      </c>
    </row>
    <row r="36">
      <c r="A36" s="359" t="s">
        <v>586</v>
      </c>
      <c r="B36" s="359">
        <v>30.0</v>
      </c>
      <c r="C36" s="359">
        <v>35.0</v>
      </c>
      <c r="D36" s="373" t="s">
        <v>381</v>
      </c>
      <c r="E36" s="367"/>
      <c r="F36" s="362"/>
      <c r="G36" s="363"/>
      <c r="H36" s="364" t="s">
        <v>382</v>
      </c>
      <c r="I36" s="369"/>
      <c r="J36" s="366"/>
      <c r="K36" s="362" t="str">
        <f>IFERROR(__xludf.DUMMYFUNCTION("IF(COUNTIF(X:X,B36)&gt;0,FILTER(AD:AD,X:X=B36),""TBD"")"),"3AM in ToKEYo")</f>
        <v>3AM in ToKEYo</v>
      </c>
      <c r="L36" s="368">
        <f t="shared" si="2"/>
        <v>2</v>
      </c>
      <c r="M36" s="367" t="str">
        <f t="shared" si="9"/>
        <v>Étouffée</v>
      </c>
      <c r="N36" s="368">
        <f t="shared" si="4"/>
        <v>4</v>
      </c>
      <c r="O36" s="367" t="str">
        <f>IFERROR(__xludf.DUMMYFUNCTION("IF(COUNTIF(X:X,C36)&gt;0,FILTER(AD:AD,X:X=C36),""TBD"")"),"Étouffée")</f>
        <v>Étouffée</v>
      </c>
      <c r="P36" s="366"/>
      <c r="Q36" s="365" t="s">
        <v>382</v>
      </c>
      <c r="R36" s="370"/>
      <c r="S36" s="371" t="s">
        <v>382</v>
      </c>
      <c r="T36" s="372" t="s">
        <v>381</v>
      </c>
      <c r="U36" s="361" t="s">
        <v>381</v>
      </c>
      <c r="V36" s="360"/>
      <c r="X36" s="298">
        <f t="shared" si="1"/>
        <v>44</v>
      </c>
      <c r="Y36" s="264">
        <f>IFERROR(__xludf.DUMMYFUNCTION("""COMPUTED_VALUE"""),45987.0)</f>
        <v>45987</v>
      </c>
      <c r="Z36" s="265" t="str">
        <f>IFERROR(__xludf.DUMMYFUNCTION("""COMPUTED_VALUE"""),"Weston")</f>
        <v>Weston</v>
      </c>
      <c r="AA36" s="266">
        <f>IFERROR(__xludf.DUMMYFUNCTION("""COMPUTED_VALUE"""),3.142857142857143)</f>
        <v>3.142857143</v>
      </c>
      <c r="AB36" s="266">
        <f>IFERROR(__xludf.DUMMYFUNCTION("""COMPUTED_VALUE"""),1.456862718169367)</f>
        <v>1.456862718</v>
      </c>
      <c r="AC36" s="266">
        <f>IFERROR(__xludf.DUMMYFUNCTION("""COMPUTED_VALUE"""),3.5)</f>
        <v>3.5</v>
      </c>
      <c r="AD36" s="265" t="str">
        <f>IFERROR(__xludf.DUMMYFUNCTION("""COMPUTED_VALUE"""),"Drag my body ")</f>
        <v>Drag my body </v>
      </c>
      <c r="AE36" s="267" t="str">
        <f>IFERROR(__xludf.DUMMYFUNCTION("""COMPUTED_VALUE"""),"Hot water music")</f>
        <v>Hot water music</v>
      </c>
    </row>
    <row r="37">
      <c r="A37" s="359" t="s">
        <v>587</v>
      </c>
      <c r="B37" s="359">
        <v>29.0</v>
      </c>
      <c r="C37" s="359">
        <v>36.0</v>
      </c>
      <c r="D37" s="360"/>
      <c r="E37" s="367"/>
      <c r="F37" s="372" t="s">
        <v>381</v>
      </c>
      <c r="G37" s="363"/>
      <c r="H37" s="370"/>
      <c r="I37" s="369"/>
      <c r="J37" s="366"/>
      <c r="K37" s="369" t="str">
        <f>IFERROR(__xludf.DUMMYFUNCTION("IF(COUNTIF(X:X,B37)&gt;0,FILTER(AD:AD,X:X=B37),""TBD"")"),"Cops &amp; Robbers")</f>
        <v>Cops &amp; Robbers</v>
      </c>
      <c r="L37" s="368">
        <f t="shared" si="2"/>
        <v>1</v>
      </c>
      <c r="M37" s="360" t="str">
        <f t="shared" si="9"/>
        <v>Houston</v>
      </c>
      <c r="N37" s="368">
        <f t="shared" si="4"/>
        <v>4</v>
      </c>
      <c r="O37" s="360" t="str">
        <f>IFERROR(__xludf.DUMMYFUNCTION("IF(COUNTIF(X:X,C37)&gt;0,FILTER(AD:AD,X:X=C37),""TBD"")"),"Houston")</f>
        <v>Houston</v>
      </c>
      <c r="P37" s="366"/>
      <c r="Q37" s="365" t="s">
        <v>382</v>
      </c>
      <c r="R37" s="364" t="s">
        <v>382</v>
      </c>
      <c r="S37" s="371" t="s">
        <v>382</v>
      </c>
      <c r="T37" s="362"/>
      <c r="U37" s="367"/>
      <c r="V37" s="373" t="s">
        <v>381</v>
      </c>
      <c r="X37" s="298">
        <f t="shared" si="1"/>
        <v>38</v>
      </c>
      <c r="Y37" s="264">
        <f>IFERROR(__xludf.DUMMYFUNCTION("""COMPUTED_VALUE"""),45989.0)</f>
        <v>45989</v>
      </c>
      <c r="Z37" s="265" t="str">
        <f>IFERROR(__xludf.DUMMYFUNCTION("""COMPUTED_VALUE"""),"Rosey")</f>
        <v>Rosey</v>
      </c>
      <c r="AA37" s="266">
        <f>IFERROR(__xludf.DUMMYFUNCTION("""COMPUTED_VALUE"""),2.857142857142857)</f>
        <v>2.857142857</v>
      </c>
      <c r="AB37" s="266">
        <f>IFERROR(__xludf.DUMMYFUNCTION("""COMPUTED_VALUE"""),1.6413036132965795)</f>
        <v>1.641303613</v>
      </c>
      <c r="AC37" s="266">
        <f>IFERROR(__xludf.DUMMYFUNCTION("""COMPUTED_VALUE"""),3.1666666666666665)</f>
        <v>3.166666667</v>
      </c>
      <c r="AD37" s="265" t="str">
        <f>IFERROR(__xludf.DUMMYFUNCTION("""COMPUTED_VALUE"""),"The Seed (2.0)")</f>
        <v>The Seed (2.0)</v>
      </c>
      <c r="AE37" s="267" t="str">
        <f>IFERROR(__xludf.DUMMYFUNCTION("""COMPUTED_VALUE"""),"The Roots, Cody Chestnutt")</f>
        <v>The Roots, Cody Chestnutt</v>
      </c>
    </row>
    <row r="38">
      <c r="A38" s="359" t="s">
        <v>588</v>
      </c>
      <c r="B38" s="359">
        <v>28.0</v>
      </c>
      <c r="C38" s="359">
        <v>37.0</v>
      </c>
      <c r="D38" s="360"/>
      <c r="E38" s="361" t="s">
        <v>381</v>
      </c>
      <c r="F38" s="362"/>
      <c r="G38" s="363"/>
      <c r="H38" s="364" t="s">
        <v>382</v>
      </c>
      <c r="I38" s="369"/>
      <c r="J38" s="384"/>
      <c r="K38" s="363" t="str">
        <f>IFERROR(__xludf.DUMMYFUNCTION("IF(COUNTIF(X:X,B38)&gt;0,FILTER(AD:AD,X:X=B38),""TBD"")"),"All The Things She Said")</f>
        <v>All The Things She Said</v>
      </c>
      <c r="L38" s="368">
        <f t="shared" si="2"/>
        <v>2</v>
      </c>
      <c r="M38" s="363" t="str">
        <f t="shared" si="9"/>
        <v>Catch Me Outside 2</v>
      </c>
      <c r="N38" s="368">
        <f t="shared" si="4"/>
        <v>4</v>
      </c>
      <c r="O38" s="363" t="str">
        <f>IFERROR(__xludf.DUMMYFUNCTION("IF(COUNTIF(X:X,C38)&gt;0,FILTER(AD:AD,X:X=C38),""TBD"")"),"Catch Me Outside 2")</f>
        <v>Catch Me Outside 2</v>
      </c>
      <c r="P38" s="366"/>
      <c r="Q38" s="365" t="s">
        <v>382</v>
      </c>
      <c r="R38" s="370"/>
      <c r="S38" s="371" t="s">
        <v>382</v>
      </c>
      <c r="T38" s="372" t="s">
        <v>381</v>
      </c>
      <c r="U38" s="367"/>
      <c r="V38" s="373" t="s">
        <v>381</v>
      </c>
      <c r="X38" s="298">
        <f t="shared" si="1"/>
        <v>16</v>
      </c>
      <c r="Y38" s="264">
        <f>IFERROR(__xludf.DUMMYFUNCTION("""COMPUTED_VALUE"""),45992.0)</f>
        <v>45992</v>
      </c>
      <c r="Z38" s="265" t="str">
        <f>IFERROR(__xludf.DUMMYFUNCTION("""COMPUTED_VALUE"""),"Logan")</f>
        <v>Logan</v>
      </c>
      <c r="AA38" s="266">
        <f>IFERROR(__xludf.DUMMYFUNCTION("""COMPUTED_VALUE"""),2.2857142857142856)</f>
        <v>2.285714286</v>
      </c>
      <c r="AB38" s="266">
        <f>IFERROR(__xludf.DUMMYFUNCTION("""COMPUTED_VALUE"""),1.4846149779161806)</f>
        <v>1.484614978</v>
      </c>
      <c r="AC38" s="266">
        <f>IFERROR(__xludf.DUMMYFUNCTION("""COMPUTED_VALUE"""),2.5)</f>
        <v>2.5</v>
      </c>
      <c r="AD38" s="265" t="str">
        <f>IFERROR(__xludf.DUMMYFUNCTION("""COMPUTED_VALUE"""),"Soap")</f>
        <v>Soap</v>
      </c>
      <c r="AE38" s="267" t="str">
        <f>IFERROR(__xludf.DUMMYFUNCTION("""COMPUTED_VALUE"""),"Yves, PinkPantheress")</f>
        <v>Yves, PinkPantheress</v>
      </c>
    </row>
    <row r="39">
      <c r="A39" s="359" t="s">
        <v>591</v>
      </c>
      <c r="B39" s="359">
        <v>27.0</v>
      </c>
      <c r="C39" s="359">
        <v>38.0</v>
      </c>
      <c r="D39" s="373" t="s">
        <v>381</v>
      </c>
      <c r="E39" s="367"/>
      <c r="F39" s="362"/>
      <c r="G39" s="363"/>
      <c r="H39" s="364" t="s">
        <v>382</v>
      </c>
      <c r="I39" s="369"/>
      <c r="J39" s="366"/>
      <c r="K39" s="360" t="str">
        <f>IFERROR(__xludf.DUMMYFUNCTION("IF(COUNTIF(X:X,B39)&gt;0,FILTER(AD:AD,X:X=B39),""TBD"")"),"HISS")</f>
        <v>HISS</v>
      </c>
      <c r="L39" s="368">
        <f t="shared" si="2"/>
        <v>2</v>
      </c>
      <c r="M39" s="363" t="str">
        <f t="shared" si="9"/>
        <v>The Seed (2.0)</v>
      </c>
      <c r="N39" s="368">
        <f t="shared" si="4"/>
        <v>4</v>
      </c>
      <c r="O39" s="363" t="str">
        <f>IFERROR(__xludf.DUMMYFUNCTION("IF(COUNTIF(X:X,C39)&gt;0,FILTER(AD:AD,X:X=C39),""TBD"")"),"The Seed (2.0)")</f>
        <v>The Seed (2.0)</v>
      </c>
      <c r="P39" s="366"/>
      <c r="Q39" s="365" t="s">
        <v>382</v>
      </c>
      <c r="R39" s="370"/>
      <c r="S39" s="371" t="s">
        <v>382</v>
      </c>
      <c r="T39" s="372" t="s">
        <v>381</v>
      </c>
      <c r="U39" s="361" t="s">
        <v>381</v>
      </c>
      <c r="V39" s="360"/>
      <c r="X39" s="298">
        <f t="shared" si="1"/>
        <v>4</v>
      </c>
      <c r="Y39" s="264">
        <f>IFERROR(__xludf.DUMMYFUNCTION("""COMPUTED_VALUE"""),45994.0)</f>
        <v>45994</v>
      </c>
      <c r="Z39" s="265" t="str">
        <f>IFERROR(__xludf.DUMMYFUNCTION("""COMPUTED_VALUE"""),"Weston")</f>
        <v>Weston</v>
      </c>
      <c r="AA39" s="266">
        <f>IFERROR(__xludf.DUMMYFUNCTION("""COMPUTED_VALUE"""),1.7142857142857142)</f>
        <v>1.714285714</v>
      </c>
      <c r="AB39" s="266">
        <f>IFERROR(__xludf.DUMMYFUNCTION("""COMPUTED_VALUE"""),1.385051387833237)</f>
        <v>1.385051388</v>
      </c>
      <c r="AC39" s="266">
        <f>IFERROR(__xludf.DUMMYFUNCTION("""COMPUTED_VALUE"""),1.8333333333333333)</f>
        <v>1.833333333</v>
      </c>
      <c r="AD39" s="265" t="str">
        <f>IFERROR(__xludf.DUMMYFUNCTION("""COMPUTED_VALUE"""),"Digital Love")</f>
        <v>Digital Love</v>
      </c>
      <c r="AE39" s="267" t="str">
        <f>IFERROR(__xludf.DUMMYFUNCTION("""COMPUTED_VALUE"""),"Daft Punk")</f>
        <v>Daft Punk</v>
      </c>
    </row>
    <row r="40">
      <c r="A40" s="359" t="s">
        <v>592</v>
      </c>
      <c r="B40" s="359">
        <v>26.0</v>
      </c>
      <c r="C40" s="359">
        <v>39.0</v>
      </c>
      <c r="D40" s="373" t="s">
        <v>381</v>
      </c>
      <c r="E40" s="361" t="s">
        <v>381</v>
      </c>
      <c r="F40" s="362"/>
      <c r="G40" s="363"/>
      <c r="H40" s="370"/>
      <c r="I40" s="365" t="s">
        <v>382</v>
      </c>
      <c r="J40" s="366"/>
      <c r="K40" s="369" t="str">
        <f>IFERROR(__xludf.DUMMYFUNCTION("IF(COUNTIF(X:X,B40)&gt;0,FILTER(AD:AD,X:X=B40),""TBD"")"),"Worlds away")</f>
        <v>Worlds away</v>
      </c>
      <c r="L40" s="368">
        <f t="shared" si="2"/>
        <v>3</v>
      </c>
      <c r="M40" s="369" t="str">
        <f t="shared" si="9"/>
        <v>Worlds away</v>
      </c>
      <c r="N40" s="368">
        <f t="shared" si="4"/>
        <v>2</v>
      </c>
      <c r="O40" s="363" t="str">
        <f>IFERROR(__xludf.DUMMYFUNCTION("IF(COUNTIF(X:X,C40)&gt;0,FILTER(AD:AD,X:X=C40),""TBD"")"),"Helena Beat")</f>
        <v>Helena Beat</v>
      </c>
      <c r="P40" s="366"/>
      <c r="Q40" s="369"/>
      <c r="R40" s="364" t="s">
        <v>382</v>
      </c>
      <c r="S40" s="363"/>
      <c r="T40" s="372" t="s">
        <v>381</v>
      </c>
      <c r="U40" s="367"/>
      <c r="V40" s="360"/>
      <c r="X40" s="298">
        <f t="shared" si="1"/>
        <v>19</v>
      </c>
      <c r="Y40" s="264">
        <f>IFERROR(__xludf.DUMMYFUNCTION("""COMPUTED_VALUE"""),45996.0)</f>
        <v>45996</v>
      </c>
      <c r="Z40" s="265" t="str">
        <f>IFERROR(__xludf.DUMMYFUNCTION("""COMPUTED_VALUE"""),"Logan")</f>
        <v>Logan</v>
      </c>
      <c r="AA40" s="266">
        <f>IFERROR(__xludf.DUMMYFUNCTION("""COMPUTED_VALUE"""),2.4285714285714284)</f>
        <v>2.428571429</v>
      </c>
      <c r="AB40" s="266">
        <f>IFERROR(__xludf.DUMMYFUNCTION("""COMPUTED_VALUE"""),1.2936264483053452)</f>
        <v>1.293626448</v>
      </c>
      <c r="AC40" s="266">
        <f>IFERROR(__xludf.DUMMYFUNCTION("""COMPUTED_VALUE"""),2.5)</f>
        <v>2.5</v>
      </c>
      <c r="AD40" s="265" t="str">
        <f>IFERROR(__xludf.DUMMYFUNCTION("""COMPUTED_VALUE"""),"Mystery Lady")</f>
        <v>Mystery Lady</v>
      </c>
      <c r="AE40" s="267" t="str">
        <f>IFERROR(__xludf.DUMMYFUNCTION("""COMPUTED_VALUE"""),"Masego, Don Toliver")</f>
        <v>Masego, Don Toliver</v>
      </c>
    </row>
    <row r="41">
      <c r="A41" s="359" t="s">
        <v>593</v>
      </c>
      <c r="B41" s="359">
        <v>25.0</v>
      </c>
      <c r="C41" s="359">
        <v>40.0</v>
      </c>
      <c r="D41" s="373" t="s">
        <v>381</v>
      </c>
      <c r="E41" s="367"/>
      <c r="F41" s="362"/>
      <c r="G41" s="371" t="s">
        <v>382</v>
      </c>
      <c r="H41" s="370"/>
      <c r="I41" s="365" t="s">
        <v>382</v>
      </c>
      <c r="J41" s="366"/>
      <c r="K41" s="362" t="str">
        <f>IFERROR(__xludf.DUMMYFUNCTION("IF(COUNTIF(X:X,B41)&gt;0,FILTER(AD:AD,X:X=B41),""TBD"")"),"That's You")</f>
        <v>That's You</v>
      </c>
      <c r="L41" s="368">
        <f t="shared" si="2"/>
        <v>3</v>
      </c>
      <c r="M41" s="362" t="str">
        <f t="shared" si="9"/>
        <v>That's You</v>
      </c>
      <c r="N41" s="368">
        <f t="shared" si="4"/>
        <v>3</v>
      </c>
      <c r="O41" s="367" t="str">
        <f>IFERROR(__xludf.DUMMYFUNCTION("IF(COUNTIF(X:X,C41)&gt;0,FILTER(AD:AD,X:X=C41),""TBD"")"),"Unshaken")</f>
        <v>Unshaken</v>
      </c>
      <c r="P41" s="366"/>
      <c r="Q41" s="369"/>
      <c r="R41" s="364" t="s">
        <v>382</v>
      </c>
      <c r="S41" s="363"/>
      <c r="T41" s="372" t="s">
        <v>381</v>
      </c>
      <c r="U41" s="361" t="s">
        <v>381</v>
      </c>
      <c r="V41" s="360"/>
      <c r="X41" s="385">
        <f t="shared" si="1"/>
        <v>10</v>
      </c>
      <c r="Y41" s="374">
        <f>IFERROR(__xludf.DUMMYFUNCTION("""COMPUTED_VALUE"""),45999.0)</f>
        <v>45999</v>
      </c>
      <c r="Z41" s="327" t="str">
        <f>IFERROR(__xludf.DUMMYFUNCTION("""COMPUTED_VALUE"""),"Weston")</f>
        <v>Weston</v>
      </c>
      <c r="AA41" s="375">
        <f>IFERROR(__xludf.DUMMYFUNCTION("""COMPUTED_VALUE"""),2.142857142857143)</f>
        <v>2.142857143</v>
      </c>
      <c r="AB41" s="375">
        <f>IFERROR(__xludf.DUMMYFUNCTION("""COMPUTED_VALUE"""),0.832993127835043)</f>
        <v>0.8329931278</v>
      </c>
      <c r="AC41" s="375">
        <f>IFERROR(__xludf.DUMMYFUNCTION("""COMPUTED_VALUE"""),2.3333333333333335)</f>
        <v>2.333333333</v>
      </c>
      <c r="AD41" s="327" t="str">
        <f>IFERROR(__xludf.DUMMYFUNCTION("""COMPUTED_VALUE"""),"Clover")</f>
        <v>Clover</v>
      </c>
      <c r="AE41" s="377" t="str">
        <f>IFERROR(__xludf.DUMMYFUNCTION("""COMPUTED_VALUE"""),"IDK, Joey Valence &amp; Brae")</f>
        <v>IDK, Joey Valence &amp; Brae</v>
      </c>
    </row>
    <row r="42">
      <c r="A42" s="359" t="s">
        <v>596</v>
      </c>
      <c r="B42" s="359">
        <v>24.0</v>
      </c>
      <c r="C42" s="359">
        <v>41.0</v>
      </c>
      <c r="D42" s="360"/>
      <c r="E42" s="367"/>
      <c r="F42" s="362"/>
      <c r="G42" s="363"/>
      <c r="H42" s="370"/>
      <c r="I42" s="369"/>
      <c r="J42" s="366"/>
      <c r="K42" s="369" t="str">
        <f>IFERROR(__xludf.DUMMYFUNCTION("IF(COUNTIF(X:X,B42)&gt;0,FILTER(AD:AD,X:X=B42),""TBD"")"),"Up and Go")</f>
        <v>Up and Go</v>
      </c>
      <c r="L42" s="368">
        <f t="shared" si="2"/>
        <v>0</v>
      </c>
      <c r="M42" s="363" t="str">
        <f t="shared" si="9"/>
        <v>Ghost Town</v>
      </c>
      <c r="N42" s="368">
        <f t="shared" si="4"/>
        <v>5</v>
      </c>
      <c r="O42" s="363" t="str">
        <f>IFERROR(__xludf.DUMMYFUNCTION("IF(COUNTIF(X:X,C42)&gt;0,FILTER(AD:AD,X:X=C42),""TBD"")"),"Ghost Town")</f>
        <v>Ghost Town</v>
      </c>
      <c r="P42" s="366"/>
      <c r="Q42" s="365" t="s">
        <v>382</v>
      </c>
      <c r="R42" s="364" t="s">
        <v>382</v>
      </c>
      <c r="S42" s="371" t="s">
        <v>382</v>
      </c>
      <c r="T42" s="372" t="s">
        <v>381</v>
      </c>
      <c r="U42" s="367"/>
      <c r="V42" s="373" t="s">
        <v>381</v>
      </c>
      <c r="X42" s="298">
        <f t="shared" si="1"/>
        <v>32</v>
      </c>
      <c r="Y42" s="264">
        <f>IFERROR(__xludf.DUMMYFUNCTION("""COMPUTED_VALUE"""),46001.0)</f>
        <v>46001</v>
      </c>
      <c r="Z42" s="265" t="str">
        <f>IFERROR(__xludf.DUMMYFUNCTION("""COMPUTED_VALUE"""),"Rosey")</f>
        <v>Rosey</v>
      </c>
      <c r="AA42" s="266">
        <f>IFERROR(__xludf.DUMMYFUNCTION("""COMPUTED_VALUE"""),2.7142857142857144)</f>
        <v>2.714285714</v>
      </c>
      <c r="AB42" s="266">
        <f>IFERROR(__xludf.DUMMYFUNCTION("""COMPUTED_VALUE"""),1.0301575072754257)</f>
        <v>1.030157507</v>
      </c>
      <c r="AC42" s="266">
        <f>IFERROR(__xludf.DUMMYFUNCTION("""COMPUTED_VALUE"""),3.0)</f>
        <v>3</v>
      </c>
      <c r="AD42" s="265" t="str">
        <f>IFERROR(__xludf.DUMMYFUNCTION("""COMPUTED_VALUE"""),"Cheesin'")</f>
        <v>Cheesin'</v>
      </c>
      <c r="AE42" s="267" t="str">
        <f>IFERROR(__xludf.DUMMYFUNCTION("""COMPUTED_VALUE"""),"Hxns, Melanie Faye, Sophie Meiers, Claud, Cautious Clay, Still Woozy, Remi Wolf")</f>
        <v>Hxns, Melanie Faye, Sophie Meiers, Claud, Cautious Clay, Still Woozy, Remi Wolf</v>
      </c>
    </row>
    <row r="43">
      <c r="A43" s="359" t="s">
        <v>597</v>
      </c>
      <c r="B43" s="359">
        <v>23.0</v>
      </c>
      <c r="C43" s="359">
        <v>42.0</v>
      </c>
      <c r="D43" s="373" t="s">
        <v>381</v>
      </c>
      <c r="E43" s="367"/>
      <c r="F43" s="362"/>
      <c r="G43" s="363"/>
      <c r="H43" s="370"/>
      <c r="I43" s="369"/>
      <c r="J43" s="366"/>
      <c r="K43" s="363" t="str">
        <f>IFERROR(__xludf.DUMMYFUNCTION("IF(COUNTIF(X:X,B43)&gt;0,FILTER(AD:AD,X:X=B43),""TBD"")"),"On My Own")</f>
        <v>On My Own</v>
      </c>
      <c r="L43" s="368">
        <f t="shared" si="2"/>
        <v>1</v>
      </c>
      <c r="M43" s="370" t="str">
        <f t="shared" si="9"/>
        <v>By and By</v>
      </c>
      <c r="N43" s="368">
        <f t="shared" si="4"/>
        <v>4</v>
      </c>
      <c r="O43" s="370" t="str">
        <f>IFERROR(__xludf.DUMMYFUNCTION("IF(COUNTIF(X:X,C43)&gt;0,FILTER(AD:AD,X:X=C43),""TBD"")"),"By and By")</f>
        <v>By and By</v>
      </c>
      <c r="P43" s="366"/>
      <c r="Q43" s="365" t="s">
        <v>382</v>
      </c>
      <c r="R43" s="364" t="s">
        <v>382</v>
      </c>
      <c r="S43" s="363"/>
      <c r="T43" s="372" t="s">
        <v>381</v>
      </c>
      <c r="U43" s="361" t="s">
        <v>381</v>
      </c>
      <c r="V43" s="360"/>
      <c r="X43" s="298">
        <f t="shared" si="1"/>
        <v>20</v>
      </c>
      <c r="Y43" s="264">
        <f>IFERROR(__xludf.DUMMYFUNCTION("""COMPUTED_VALUE"""),46003.0)</f>
        <v>46003</v>
      </c>
      <c r="Z43" s="265" t="str">
        <f>IFERROR(__xludf.DUMMYFUNCTION("""COMPUTED_VALUE"""),"Rosey")</f>
        <v>Rosey</v>
      </c>
      <c r="AA43" s="266">
        <f>IFERROR(__xludf.DUMMYFUNCTION("""COMPUTED_VALUE"""),2.4285714285714284)</f>
        <v>2.428571429</v>
      </c>
      <c r="AB43" s="266">
        <f>IFERROR(__xludf.DUMMYFUNCTION("""COMPUTED_VALUE"""),0.9035079029052513)</f>
        <v>0.9035079029</v>
      </c>
      <c r="AC43" s="266">
        <f>IFERROR(__xludf.DUMMYFUNCTION("""COMPUTED_VALUE"""),2.6666666666666665)</f>
        <v>2.666666667</v>
      </c>
      <c r="AD43" s="265" t="str">
        <f>IFERROR(__xludf.DUMMYFUNCTION("""COMPUTED_VALUE"""),"RNP")</f>
        <v>RNP</v>
      </c>
      <c r="AE43" s="267" t="str">
        <f>IFERROR(__xludf.DUMMYFUNCTION("""COMPUTED_VALUE"""),"Cordae, Anderson .Paak")</f>
        <v>Cordae, Anderson .Paak</v>
      </c>
    </row>
    <row r="44">
      <c r="A44" s="359" t="s">
        <v>600</v>
      </c>
      <c r="B44" s="359">
        <v>22.0</v>
      </c>
      <c r="C44" s="359">
        <v>43.0</v>
      </c>
      <c r="D44" s="373" t="s">
        <v>381</v>
      </c>
      <c r="E44" s="367"/>
      <c r="F44" s="372" t="s">
        <v>381</v>
      </c>
      <c r="G44" s="363"/>
      <c r="H44" s="364" t="s">
        <v>382</v>
      </c>
      <c r="I44" s="365" t="s">
        <v>382</v>
      </c>
      <c r="J44" s="366"/>
      <c r="K44" s="369" t="str">
        <f>IFERROR(__xludf.DUMMYFUNCTION("IF(COUNTIF(X:X,B44)&gt;0,FILTER(AD:AD,X:X=B44),""TBD"")"),"Don't kill the party")</f>
        <v>Don't kill the party</v>
      </c>
      <c r="L44" s="368">
        <f t="shared" si="2"/>
        <v>4</v>
      </c>
      <c r="M44" s="369" t="str">
        <f t="shared" si="9"/>
        <v>Don't kill the party</v>
      </c>
      <c r="N44" s="368">
        <f t="shared" si="4"/>
        <v>1</v>
      </c>
      <c r="O44" s="367" t="str">
        <f>IFERROR(__xludf.DUMMYFUNCTION("IF(COUNTIF(X:X,C44)&gt;0,FILTER(AD:AD,X:X=C44),""TBD"")"),"Too Bad I Have to Destroy You Now")</f>
        <v>Too Bad I Have to Destroy You Now</v>
      </c>
      <c r="P44" s="366"/>
      <c r="Q44" s="369"/>
      <c r="R44" s="370"/>
      <c r="S44" s="363"/>
      <c r="T44" s="362"/>
      <c r="U44" s="361" t="s">
        <v>381</v>
      </c>
      <c r="V44" s="360"/>
      <c r="X44" s="298">
        <f t="shared" si="1"/>
        <v>34</v>
      </c>
      <c r="Y44" s="264">
        <f>IFERROR(__xludf.DUMMYFUNCTION("""COMPUTED_VALUE"""),46006.0)</f>
        <v>46006</v>
      </c>
      <c r="Z44" s="265" t="str">
        <f>IFERROR(__xludf.DUMMYFUNCTION("""COMPUTED_VALUE"""),"Rosey")</f>
        <v>Rosey</v>
      </c>
      <c r="AA44" s="266">
        <f>IFERROR(__xludf.DUMMYFUNCTION("""COMPUTED_VALUE"""),2.857142857142857)</f>
        <v>2.857142857</v>
      </c>
      <c r="AB44" s="266">
        <f>IFERROR(__xludf.DUMMYFUNCTION("""COMPUTED_VALUE"""),1.2453996981544782)</f>
        <v>1.245399698</v>
      </c>
      <c r="AC44" s="266">
        <f>IFERROR(__xludf.DUMMYFUNCTION("""COMPUTED_VALUE"""),3.0)</f>
        <v>3</v>
      </c>
      <c r="AD44" s="265" t="str">
        <f>IFERROR(__xludf.DUMMYFUNCTION("""COMPUTED_VALUE"""),"96 Quite Bitter Beings")</f>
        <v>96 Quite Bitter Beings</v>
      </c>
      <c r="AE44" s="267" t="str">
        <f>IFERROR(__xludf.DUMMYFUNCTION("""COMPUTED_VALUE"""),"CKY")</f>
        <v>CKY</v>
      </c>
    </row>
    <row r="45">
      <c r="A45" s="359" t="s">
        <v>601</v>
      </c>
      <c r="B45" s="359">
        <v>21.0</v>
      </c>
      <c r="C45" s="359">
        <v>44.0</v>
      </c>
      <c r="D45" s="373" t="s">
        <v>381</v>
      </c>
      <c r="E45" s="367"/>
      <c r="F45" s="372" t="s">
        <v>381</v>
      </c>
      <c r="G45" s="363"/>
      <c r="H45" s="370"/>
      <c r="I45" s="365" t="s">
        <v>382</v>
      </c>
      <c r="J45" s="366"/>
      <c r="K45" s="369" t="str">
        <f>IFERROR(__xludf.DUMMYFUNCTION("IF(COUNTIF(X:X,B45)&gt;0,FILTER(AD:AD,X:X=B45),""TBD"")"),"Black butterflies and Déjà vu")</f>
        <v>Black butterflies and Déjà vu</v>
      </c>
      <c r="L45" s="368">
        <f t="shared" si="2"/>
        <v>3</v>
      </c>
      <c r="M45" s="369" t="str">
        <f t="shared" si="9"/>
        <v>Black butterflies and Déjà vu</v>
      </c>
      <c r="N45" s="368">
        <f t="shared" si="4"/>
        <v>1</v>
      </c>
      <c r="O45" s="369" t="str">
        <f>IFERROR(__xludf.DUMMYFUNCTION("IF(COUNTIF(X:X,C45)&gt;0,FILTER(AD:AD,X:X=C45),""TBD"")"),"Drag my body ")</f>
        <v>Drag my body </v>
      </c>
      <c r="P45" s="366"/>
      <c r="Q45" s="369"/>
      <c r="R45" s="364" t="s">
        <v>382</v>
      </c>
      <c r="S45" s="363"/>
      <c r="T45" s="362"/>
      <c r="U45" s="367"/>
      <c r="V45" s="360"/>
      <c r="X45" s="298">
        <f t="shared" si="1"/>
        <v>45</v>
      </c>
      <c r="Y45" s="264">
        <f>IFERROR(__xludf.DUMMYFUNCTION("""COMPUTED_VALUE"""),46008.0)</f>
        <v>46008</v>
      </c>
      <c r="Z45" s="265" t="str">
        <f>IFERROR(__xludf.DUMMYFUNCTION("""COMPUTED_VALUE"""),"Jake")</f>
        <v>Jake</v>
      </c>
      <c r="AA45" s="266">
        <f>IFERROR(__xludf.DUMMYFUNCTION("""COMPUTED_VALUE"""),3.142857142857143)</f>
        <v>3.142857143</v>
      </c>
      <c r="AB45" s="266">
        <f>IFERROR(__xludf.DUMMYFUNCTION("""COMPUTED_VALUE"""),2.531435020952764)</f>
        <v>2.531435021</v>
      </c>
      <c r="AC45" s="266">
        <f>IFERROR(__xludf.DUMMYFUNCTION("""COMPUTED_VALUE"""),3.5)</f>
        <v>3.5</v>
      </c>
      <c r="AD45" s="265" t="str">
        <f>IFERROR(__xludf.DUMMYFUNCTION("""COMPUTED_VALUE"""),"Give Up")</f>
        <v>Give Up</v>
      </c>
      <c r="AE45" s="267" t="str">
        <f>IFERROR(__xludf.DUMMYFUNCTION("""COMPUTED_VALUE"""),"Low Roar")</f>
        <v>Low Roar</v>
      </c>
    </row>
    <row r="46">
      <c r="A46" s="359" t="s">
        <v>603</v>
      </c>
      <c r="B46" s="359">
        <v>20.0</v>
      </c>
      <c r="C46" s="359">
        <v>45.0</v>
      </c>
      <c r="D46" s="373" t="s">
        <v>381</v>
      </c>
      <c r="E46" s="361" t="s">
        <v>381</v>
      </c>
      <c r="F46" s="372" t="s">
        <v>381</v>
      </c>
      <c r="G46" s="363"/>
      <c r="H46" s="370"/>
      <c r="I46" s="365" t="s">
        <v>382</v>
      </c>
      <c r="J46" s="366"/>
      <c r="K46" s="363" t="str">
        <f>IFERROR(__xludf.DUMMYFUNCTION("IF(COUNTIF(X:X,B46)&gt;0,FILTER(AD:AD,X:X=B46),""TBD"")"),"RNP")</f>
        <v>RNP</v>
      </c>
      <c r="L46" s="368">
        <f t="shared" si="2"/>
        <v>4</v>
      </c>
      <c r="M46" s="363" t="str">
        <f t="shared" si="9"/>
        <v>RNP</v>
      </c>
      <c r="N46" s="368">
        <f t="shared" si="4"/>
        <v>1</v>
      </c>
      <c r="O46" s="366" t="str">
        <f>IFERROR(__xludf.DUMMYFUNCTION("IF(COUNTIF(X:X,C46)&gt;0,FILTER(AD:AD,X:X=C46),""TBD"")"),"Give Up")</f>
        <v>Give Up</v>
      </c>
      <c r="P46" s="366"/>
      <c r="Q46" s="369"/>
      <c r="R46" s="364" t="s">
        <v>382</v>
      </c>
      <c r="S46" s="363"/>
      <c r="T46" s="362"/>
      <c r="U46" s="367"/>
      <c r="V46" s="360"/>
      <c r="X46" s="298">
        <f t="shared" si="1"/>
        <v>22</v>
      </c>
      <c r="Y46" s="264">
        <f>IFERROR(__xludf.DUMMYFUNCTION("""COMPUTED_VALUE"""),46010.0)</f>
        <v>46010</v>
      </c>
      <c r="Z46" s="265" t="str">
        <f>IFERROR(__xludf.DUMMYFUNCTION("""COMPUTED_VALUE"""),"Weston")</f>
        <v>Weston</v>
      </c>
      <c r="AA46" s="266">
        <f>IFERROR(__xludf.DUMMYFUNCTION("""COMPUTED_VALUE"""),2.4285714285714284)</f>
        <v>2.428571429</v>
      </c>
      <c r="AB46" s="266">
        <f>IFERROR(__xludf.DUMMYFUNCTION("""COMPUTED_VALUE"""),1.6781914463529615)</f>
        <v>1.678191446</v>
      </c>
      <c r="AC46" s="266">
        <f>IFERROR(__xludf.DUMMYFUNCTION("""COMPUTED_VALUE"""),2.6666666666666665)</f>
        <v>2.666666667</v>
      </c>
      <c r="AD46" s="265" t="str">
        <f>IFERROR(__xludf.DUMMYFUNCTION("""COMPUTED_VALUE"""),"Don't kill the party")</f>
        <v>Don't kill the party</v>
      </c>
      <c r="AE46" s="267" t="str">
        <f>IFERROR(__xludf.DUMMYFUNCTION("""COMPUTED_VALUE"""),"Ty dolla $ign, Quavo, Juicy J")</f>
        <v>Ty dolla $ign, Quavo, Juicy J</v>
      </c>
    </row>
    <row r="47">
      <c r="A47" s="359" t="s">
        <v>604</v>
      </c>
      <c r="B47" s="359">
        <v>19.0</v>
      </c>
      <c r="C47" s="359">
        <v>46.0</v>
      </c>
      <c r="D47" s="373" t="s">
        <v>381</v>
      </c>
      <c r="E47" s="361" t="s">
        <v>381</v>
      </c>
      <c r="F47" s="372" t="s">
        <v>381</v>
      </c>
      <c r="G47" s="363"/>
      <c r="H47" s="364" t="s">
        <v>382</v>
      </c>
      <c r="I47" s="365" t="s">
        <v>382</v>
      </c>
      <c r="J47" s="366"/>
      <c r="K47" s="360" t="str">
        <f>IFERROR(__xludf.DUMMYFUNCTION("IF(COUNTIF(X:X,B47)&gt;0,FILTER(AD:AD,X:X=B47),""TBD"")"),"Mystery Lady")</f>
        <v>Mystery Lady</v>
      </c>
      <c r="L47" s="368">
        <f t="shared" si="2"/>
        <v>5</v>
      </c>
      <c r="M47" s="360" t="str">
        <f t="shared" si="9"/>
        <v>Mystery Lady</v>
      </c>
      <c r="N47" s="368">
        <f t="shared" si="4"/>
        <v>0</v>
      </c>
      <c r="O47" s="360" t="str">
        <f>IFERROR(__xludf.DUMMYFUNCTION("IF(COUNTIF(X:X,C47)&gt;0,FILTER(AD:AD,X:X=C47),""TBD"")"),"Lavender Town")</f>
        <v>Lavender Town</v>
      </c>
      <c r="P47" s="366"/>
      <c r="Q47" s="369"/>
      <c r="R47" s="370"/>
      <c r="S47" s="363"/>
      <c r="T47" s="362"/>
      <c r="U47" s="367"/>
      <c r="V47" s="360"/>
      <c r="X47" s="298">
        <f t="shared" si="1"/>
        <v>30</v>
      </c>
      <c r="Y47" s="264">
        <f>IFERROR(__xludf.DUMMYFUNCTION("""COMPUTED_VALUE"""),46013.0)</f>
        <v>46013</v>
      </c>
      <c r="Z47" s="265" t="str">
        <f>IFERROR(__xludf.DUMMYFUNCTION("""COMPUTED_VALUE"""),"Giacomo")</f>
        <v>Giacomo</v>
      </c>
      <c r="AA47" s="266">
        <f>IFERROR(__xludf.DUMMYFUNCTION("""COMPUTED_VALUE"""),2.6666666666666665)</f>
        <v>2.666666667</v>
      </c>
      <c r="AB47" s="266">
        <f>IFERROR(__xludf.DUMMYFUNCTION("""COMPUTED_VALUE"""),1.247219128924647)</f>
        <v>1.247219129</v>
      </c>
      <c r="AC47" s="266">
        <f>IFERROR(__xludf.DUMMYFUNCTION("""COMPUTED_VALUE"""),2.6)</f>
        <v>2.6</v>
      </c>
      <c r="AD47" s="265" t="str">
        <f>IFERROR(__xludf.DUMMYFUNCTION("""COMPUTED_VALUE"""),"3AM in ToKEYo")</f>
        <v>3AM in ToKEYo</v>
      </c>
      <c r="AE47" s="267" t="str">
        <f>IFERROR(__xludf.DUMMYFUNCTION("""COMPUTED_VALUE"""),"Key Glock")</f>
        <v>Key Glock</v>
      </c>
    </row>
    <row r="48">
      <c r="A48" s="359" t="s">
        <v>606</v>
      </c>
      <c r="B48" s="359">
        <v>18.0</v>
      </c>
      <c r="C48" s="359">
        <v>47.0</v>
      </c>
      <c r="D48" s="373" t="s">
        <v>381</v>
      </c>
      <c r="E48" s="361" t="s">
        <v>381</v>
      </c>
      <c r="F48" s="372" t="s">
        <v>381</v>
      </c>
      <c r="G48" s="363"/>
      <c r="H48" s="370"/>
      <c r="I48" s="365" t="s">
        <v>382</v>
      </c>
      <c r="J48" s="366"/>
      <c r="K48" s="366" t="str">
        <f>IFERROR(__xludf.DUMMYFUNCTION("IF(COUNTIF(X:X,B48)&gt;0,FILTER(AD:AD,X:X=B48),""TBD"")"),"We The People…")</f>
        <v>We The People…</v>
      </c>
      <c r="L48" s="368">
        <f t="shared" si="2"/>
        <v>4</v>
      </c>
      <c r="M48" s="366" t="str">
        <f t="shared" si="9"/>
        <v>We The People…</v>
      </c>
      <c r="N48" s="368">
        <f t="shared" si="4"/>
        <v>1</v>
      </c>
      <c r="O48" s="370" t="str">
        <f>IFERROR(__xludf.DUMMYFUNCTION("IF(COUNTIF(X:X,C48)&gt;0,FILTER(AD:AD,X:X=C48),""TBD"")"),"High No More")</f>
        <v>High No More</v>
      </c>
      <c r="P48" s="366"/>
      <c r="Q48" s="369"/>
      <c r="R48" s="364" t="s">
        <v>382</v>
      </c>
      <c r="S48" s="363"/>
      <c r="T48" s="362"/>
      <c r="U48" s="367"/>
      <c r="V48" s="360"/>
      <c r="X48" s="298">
        <f t="shared" si="1"/>
        <v>2</v>
      </c>
      <c r="Y48" s="264">
        <f>IFERROR(__xludf.DUMMYFUNCTION("""COMPUTED_VALUE"""),46015.0)</f>
        <v>46015</v>
      </c>
      <c r="Z48" s="265" t="str">
        <f>IFERROR(__xludf.DUMMYFUNCTION("""COMPUTED_VALUE"""),"Rosey")</f>
        <v>Rosey</v>
      </c>
      <c r="AA48" s="266">
        <f>IFERROR(__xludf.DUMMYFUNCTION("""COMPUTED_VALUE"""),1.3333333333333333)</f>
        <v>1.333333333</v>
      </c>
      <c r="AB48" s="266">
        <f>IFERROR(__xludf.DUMMYFUNCTION("""COMPUTED_VALUE"""),0.4714045207910317)</f>
        <v>0.4714045208</v>
      </c>
      <c r="AC48" s="266">
        <f>IFERROR(__xludf.DUMMYFUNCTION("""COMPUTED_VALUE"""),1.4)</f>
        <v>1.4</v>
      </c>
      <c r="AD48" s="265" t="str">
        <f>IFERROR(__xludf.DUMMYFUNCTION("""COMPUTED_VALUE"""),"Last Christmas")</f>
        <v>Last Christmas</v>
      </c>
      <c r="AE48" s="267" t="str">
        <f>IFERROR(__xludf.DUMMYFUNCTION("""COMPUTED_VALUE"""),"Riff Raff")</f>
        <v>Riff Raff</v>
      </c>
    </row>
    <row r="49">
      <c r="A49" s="359" t="s">
        <v>609</v>
      </c>
      <c r="B49" s="359">
        <v>17.0</v>
      </c>
      <c r="C49" s="359">
        <v>48.0</v>
      </c>
      <c r="D49" s="360"/>
      <c r="E49" s="361" t="s">
        <v>381</v>
      </c>
      <c r="F49" s="362"/>
      <c r="G49" s="363"/>
      <c r="H49" s="364" t="s">
        <v>382</v>
      </c>
      <c r="I49" s="365" t="s">
        <v>382</v>
      </c>
      <c r="J49" s="366"/>
      <c r="K49" s="369" t="str">
        <f>IFERROR(__xludf.DUMMYFUNCTION("IF(COUNTIF(X:X,B49)&gt;0,FILTER(AD:AD,X:X=B49),""TBD"")"),"Brick by boring Brick")</f>
        <v>Brick by boring Brick</v>
      </c>
      <c r="L49" s="368">
        <f t="shared" si="2"/>
        <v>3</v>
      </c>
      <c r="M49" s="369" t="str">
        <f t="shared" si="9"/>
        <v>Brick by boring Brick</v>
      </c>
      <c r="N49" s="368">
        <f t="shared" si="4"/>
        <v>3</v>
      </c>
      <c r="O49" s="362" t="str">
        <f>IFERROR(__xludf.DUMMYFUNCTION("IF(COUNTIF(X:X,C49)&gt;0,FILTER(AD:AD,X:X=C49),""TBD"")"),"No Problems")</f>
        <v>No Problems</v>
      </c>
      <c r="P49" s="366"/>
      <c r="Q49" s="369"/>
      <c r="R49" s="370"/>
      <c r="S49" s="371" t="s">
        <v>382</v>
      </c>
      <c r="T49" s="372" t="s">
        <v>381</v>
      </c>
      <c r="U49" s="367"/>
      <c r="V49" s="373" t="s">
        <v>381</v>
      </c>
      <c r="X49" s="298">
        <f t="shared" si="1"/>
        <v>12</v>
      </c>
      <c r="Y49" s="264">
        <f>IFERROR(__xludf.DUMMYFUNCTION("""COMPUTED_VALUE"""),46017.0)</f>
        <v>46017</v>
      </c>
      <c r="Z49" s="265" t="str">
        <f>IFERROR(__xludf.DUMMYFUNCTION("""COMPUTED_VALUE"""),"Parker")</f>
        <v>Parker</v>
      </c>
      <c r="AA49" s="266">
        <f>IFERROR(__xludf.DUMMYFUNCTION("""COMPUTED_VALUE"""),2.1666666666666665)</f>
        <v>2.166666667</v>
      </c>
      <c r="AB49" s="266">
        <f>IFERROR(__xludf.DUMMYFUNCTION("""COMPUTED_VALUE"""),1.0671873729054746)</f>
        <v>1.067187373</v>
      </c>
      <c r="AC49" s="266">
        <f>IFERROR(__xludf.DUMMYFUNCTION("""COMPUTED_VALUE"""),2.2)</f>
        <v>2.2</v>
      </c>
      <c r="AD49" s="265" t="str">
        <f>IFERROR(__xludf.DUMMYFUNCTION("""COMPUTED_VALUE"""),"drive ME crazy!")</f>
        <v>drive ME crazy!</v>
      </c>
      <c r="AE49" s="267" t="str">
        <f>IFERROR(__xludf.DUMMYFUNCTION("""COMPUTED_VALUE"""),"Lil Yachty, Diana Gordon")</f>
        <v>Lil Yachty, Diana Gordon</v>
      </c>
    </row>
    <row r="50">
      <c r="A50" s="359" t="s">
        <v>610</v>
      </c>
      <c r="B50" s="359">
        <v>16.0</v>
      </c>
      <c r="C50" s="359">
        <v>49.0</v>
      </c>
      <c r="D50" s="373" t="s">
        <v>381</v>
      </c>
      <c r="E50" s="361" t="s">
        <v>381</v>
      </c>
      <c r="F50" s="362"/>
      <c r="G50" s="371" t="s">
        <v>382</v>
      </c>
      <c r="H50" s="370"/>
      <c r="I50" s="369"/>
      <c r="J50" s="366"/>
      <c r="K50" s="360" t="str">
        <f>IFERROR(__xludf.DUMMYFUNCTION("IF(COUNTIF(X:X,B50)&gt;0,FILTER(AD:AD,X:X=B50),""TBD"")"),"Soap")</f>
        <v>Soap</v>
      </c>
      <c r="L50" s="368">
        <f t="shared" si="2"/>
        <v>3</v>
      </c>
      <c r="M50" s="360" t="str">
        <f t="shared" si="9"/>
        <v>Soap</v>
      </c>
      <c r="N50" s="368">
        <f t="shared" si="4"/>
        <v>3</v>
      </c>
      <c r="O50" s="369" t="str">
        <f>IFERROR(__xludf.DUMMYFUNCTION("IF(COUNTIF(X:X,C50)&gt;0,FILTER(AD:AD,X:X=C50),""TBD"")"),"Pasadena")</f>
        <v>Pasadena</v>
      </c>
      <c r="P50" s="366"/>
      <c r="Q50" s="365" t="s">
        <v>382</v>
      </c>
      <c r="R50" s="364" t="s">
        <v>382</v>
      </c>
      <c r="S50" s="363"/>
      <c r="T50" s="372" t="s">
        <v>381</v>
      </c>
      <c r="U50" s="367"/>
      <c r="V50" s="360"/>
      <c r="X50" s="298">
        <f t="shared" si="1"/>
        <v>24</v>
      </c>
      <c r="Y50" s="264">
        <f>IFERROR(__xludf.DUMMYFUNCTION("""COMPUTED_VALUE"""),46020.0)</f>
        <v>46020</v>
      </c>
      <c r="Z50" s="265" t="str">
        <f>IFERROR(__xludf.DUMMYFUNCTION("""COMPUTED_VALUE"""),"Weston")</f>
        <v>Weston</v>
      </c>
      <c r="AA50" s="266">
        <f>IFERROR(__xludf.DUMMYFUNCTION("""COMPUTED_VALUE"""),2.5)</f>
        <v>2.5</v>
      </c>
      <c r="AB50" s="266">
        <f>IFERROR(__xludf.DUMMYFUNCTION("""COMPUTED_VALUE"""),1.6072751268321592)</f>
        <v>1.607275127</v>
      </c>
      <c r="AC50" s="266">
        <f>IFERROR(__xludf.DUMMYFUNCTION("""COMPUTED_VALUE"""),2.8)</f>
        <v>2.8</v>
      </c>
      <c r="AD50" s="265" t="str">
        <f>IFERROR(__xludf.DUMMYFUNCTION("""COMPUTED_VALUE"""),"Up and Go")</f>
        <v>Up and Go</v>
      </c>
      <c r="AE50" s="267" t="str">
        <f>IFERROR(__xludf.DUMMYFUNCTION("""COMPUTED_VALUE"""),"The Starting Line")</f>
        <v>The Starting Line</v>
      </c>
    </row>
    <row r="51">
      <c r="A51" s="359" t="s">
        <v>611</v>
      </c>
      <c r="B51" s="359">
        <v>15.0</v>
      </c>
      <c r="C51" s="359">
        <v>50.0</v>
      </c>
      <c r="D51" s="360"/>
      <c r="E51" s="361" t="s">
        <v>381</v>
      </c>
      <c r="F51" s="372" t="s">
        <v>381</v>
      </c>
      <c r="G51" s="371" t="s">
        <v>382</v>
      </c>
      <c r="H51" s="370"/>
      <c r="I51" s="369"/>
      <c r="J51" s="366"/>
      <c r="K51" s="363" t="str">
        <f>IFERROR(__xludf.DUMMYFUNCTION("IF(COUNTIF(X:X,B51)&gt;0,FILTER(AD:AD,X:X=B51),""TBD"")"),"Hell of a Night")</f>
        <v>Hell of a Night</v>
      </c>
      <c r="L51" s="368">
        <f t="shared" si="2"/>
        <v>3</v>
      </c>
      <c r="M51" s="363" t="str">
        <f t="shared" si="9"/>
        <v>Hell of a Night</v>
      </c>
      <c r="N51" s="368">
        <f t="shared" si="4"/>
        <v>3</v>
      </c>
      <c r="O51" s="363" t="str">
        <f>IFERROR(__xludf.DUMMYFUNCTION("IF(COUNTIF(X:X,C51)&gt;0,FILTER(AD:AD,X:X=C51),""TBD"")"),"The Good Life")</f>
        <v>The Good Life</v>
      </c>
      <c r="P51" s="366"/>
      <c r="Q51" s="365" t="s">
        <v>382</v>
      </c>
      <c r="R51" s="364" t="s">
        <v>382</v>
      </c>
      <c r="S51" s="363"/>
      <c r="T51" s="362"/>
      <c r="U51" s="367"/>
      <c r="V51" s="373" t="s">
        <v>381</v>
      </c>
      <c r="X51" s="387">
        <f t="shared" si="1"/>
        <v>13</v>
      </c>
      <c r="Y51" s="295">
        <f>IFERROR(__xludf.DUMMYFUNCTION("""COMPUTED_VALUE"""),46022.0)</f>
        <v>46022</v>
      </c>
      <c r="Z51" s="296" t="str">
        <f>IFERROR(__xludf.DUMMYFUNCTION("""COMPUTED_VALUE"""),"Giacomo")</f>
        <v>Giacomo</v>
      </c>
      <c r="AA51" s="297">
        <f>IFERROR(__xludf.DUMMYFUNCTION("""COMPUTED_VALUE"""),2.1666666666666665)</f>
        <v>2.166666667</v>
      </c>
      <c r="AB51" s="297">
        <f>IFERROR(__xludf.DUMMYFUNCTION("""COMPUTED_VALUE"""),1.3437096247164249)</f>
        <v>1.343709625</v>
      </c>
      <c r="AC51" s="297">
        <f>IFERROR(__xludf.DUMMYFUNCTION("""COMPUTED_VALUE"""),2.4)</f>
        <v>2.4</v>
      </c>
      <c r="AD51" s="296" t="str">
        <f>IFERROR(__xludf.DUMMYFUNCTION("""COMPUTED_VALUE"""),"La Perla")</f>
        <v>La Perla</v>
      </c>
      <c r="AE51" s="299" t="str">
        <f>IFERROR(__xludf.DUMMYFUNCTION("""COMPUTED_VALUE"""),"ROSALÍA, Yahritza Y Su Esencia")</f>
        <v>ROSALÍA, Yahritza Y Su Esencia</v>
      </c>
    </row>
    <row r="52">
      <c r="A52" s="388"/>
      <c r="B52" s="388"/>
      <c r="C52" s="388"/>
      <c r="D52" s="388"/>
      <c r="E52" s="388"/>
      <c r="F52" s="388"/>
      <c r="G52" s="388"/>
      <c r="H52" s="388"/>
      <c r="I52" s="388"/>
      <c r="J52" s="388"/>
      <c r="K52" s="388"/>
      <c r="L52" s="388"/>
      <c r="M52" s="388"/>
      <c r="N52" s="388"/>
      <c r="O52" s="388"/>
      <c r="P52" s="388"/>
      <c r="Q52" s="388"/>
      <c r="R52" s="388"/>
      <c r="S52" s="388"/>
      <c r="T52" s="388"/>
      <c r="U52" s="388"/>
      <c r="V52" s="388"/>
      <c r="Z52" s="256"/>
    </row>
    <row r="53">
      <c r="A53" s="388"/>
      <c r="B53" s="388"/>
      <c r="C53" s="388"/>
      <c r="D53" s="388"/>
      <c r="E53" s="388"/>
      <c r="F53" s="388"/>
      <c r="G53" s="388"/>
      <c r="H53" s="388"/>
      <c r="I53" s="388"/>
      <c r="J53" s="388"/>
      <c r="K53" s="388"/>
      <c r="L53" s="388"/>
      <c r="M53" s="388"/>
      <c r="N53" s="388"/>
      <c r="O53" s="388"/>
      <c r="P53" s="388"/>
      <c r="Q53" s="388"/>
      <c r="R53" s="388"/>
      <c r="S53" s="388"/>
      <c r="T53" s="388"/>
      <c r="U53" s="388"/>
      <c r="V53" s="388"/>
      <c r="Z53" s="256"/>
    </row>
    <row r="54">
      <c r="A54" s="388"/>
      <c r="B54" s="388"/>
      <c r="C54" s="388"/>
      <c r="D54" s="388"/>
      <c r="E54" s="388"/>
      <c r="F54" s="388"/>
      <c r="G54" s="388"/>
      <c r="H54" s="388"/>
      <c r="I54" s="388"/>
      <c r="J54" s="388"/>
      <c r="K54" s="388"/>
      <c r="L54" s="388"/>
      <c r="M54" s="388"/>
      <c r="N54" s="388"/>
      <c r="O54" s="388"/>
      <c r="P54" s="388"/>
      <c r="Q54" s="388"/>
      <c r="R54" s="388"/>
      <c r="S54" s="388"/>
      <c r="T54" s="388"/>
      <c r="U54" s="388"/>
      <c r="V54" s="388"/>
      <c r="Z54" s="256"/>
    </row>
    <row r="55">
      <c r="A55" s="388"/>
      <c r="B55" s="388"/>
      <c r="C55" s="388"/>
      <c r="D55" s="388"/>
      <c r="E55" s="388"/>
      <c r="F55" s="388"/>
      <c r="G55" s="388"/>
      <c r="H55" s="388"/>
      <c r="I55" s="388"/>
      <c r="J55" s="388"/>
      <c r="K55" s="388"/>
      <c r="L55" s="388"/>
      <c r="M55" s="388"/>
      <c r="N55" s="388"/>
      <c r="O55" s="388"/>
      <c r="P55" s="388"/>
      <c r="Q55" s="388"/>
      <c r="R55" s="388"/>
      <c r="S55" s="388"/>
      <c r="T55" s="388"/>
      <c r="U55" s="388"/>
      <c r="V55" s="388"/>
      <c r="Z55" s="256"/>
    </row>
    <row r="56">
      <c r="A56" s="388"/>
      <c r="B56" s="388"/>
      <c r="C56" s="388"/>
      <c r="D56" s="388"/>
      <c r="E56" s="388"/>
      <c r="F56" s="388"/>
      <c r="G56" s="388"/>
      <c r="H56" s="388"/>
      <c r="I56" s="388"/>
      <c r="J56" s="388"/>
      <c r="K56" s="388"/>
      <c r="L56" s="388"/>
      <c r="M56" s="388"/>
      <c r="N56" s="388"/>
      <c r="O56" s="388"/>
      <c r="P56" s="388"/>
      <c r="Q56" s="388"/>
      <c r="R56" s="388"/>
      <c r="S56" s="388"/>
      <c r="T56" s="388"/>
      <c r="U56" s="388"/>
      <c r="V56" s="388"/>
      <c r="Z56" s="256"/>
    </row>
    <row r="57">
      <c r="A57" s="388"/>
      <c r="B57" s="388"/>
      <c r="C57" s="388"/>
      <c r="D57" s="388"/>
      <c r="E57" s="388"/>
      <c r="F57" s="388"/>
      <c r="G57" s="388"/>
      <c r="H57" s="388"/>
      <c r="I57" s="388"/>
      <c r="J57" s="388"/>
      <c r="K57" s="388"/>
      <c r="L57" s="388"/>
      <c r="M57" s="388"/>
      <c r="N57" s="388"/>
      <c r="O57" s="388"/>
      <c r="P57" s="388"/>
      <c r="Q57" s="388"/>
      <c r="R57" s="388"/>
      <c r="S57" s="388"/>
      <c r="T57" s="388"/>
      <c r="U57" s="388"/>
      <c r="V57" s="388"/>
      <c r="Z57" s="256"/>
    </row>
    <row r="58">
      <c r="A58" s="388"/>
      <c r="B58" s="388"/>
      <c r="C58" s="388"/>
      <c r="D58" s="388"/>
      <c r="E58" s="388"/>
      <c r="F58" s="388"/>
      <c r="G58" s="388"/>
      <c r="H58" s="388"/>
      <c r="I58" s="388"/>
      <c r="J58" s="388"/>
      <c r="K58" s="388"/>
      <c r="L58" s="388"/>
      <c r="M58" s="388"/>
      <c r="N58" s="388"/>
      <c r="O58" s="388"/>
      <c r="P58" s="388"/>
      <c r="Q58" s="388"/>
      <c r="R58" s="388"/>
      <c r="S58" s="388"/>
      <c r="T58" s="388"/>
      <c r="U58" s="388"/>
      <c r="V58" s="388"/>
      <c r="Z58" s="256"/>
    </row>
    <row r="59">
      <c r="A59" s="388"/>
      <c r="B59" s="388"/>
      <c r="C59" s="388"/>
      <c r="D59" s="388"/>
      <c r="E59" s="388"/>
      <c r="F59" s="388"/>
      <c r="G59" s="388"/>
      <c r="H59" s="388"/>
      <c r="I59" s="388"/>
      <c r="J59" s="388"/>
      <c r="K59" s="388"/>
      <c r="L59" s="388"/>
      <c r="M59" s="388"/>
      <c r="N59" s="388"/>
      <c r="O59" s="388"/>
      <c r="P59" s="388"/>
      <c r="Q59" s="388"/>
      <c r="R59" s="388"/>
      <c r="S59" s="388"/>
      <c r="T59" s="388"/>
      <c r="U59" s="388"/>
      <c r="V59" s="388"/>
      <c r="Z59" s="256"/>
    </row>
    <row r="60">
      <c r="A60" s="388"/>
      <c r="B60" s="388"/>
      <c r="C60" s="388"/>
      <c r="D60" s="388"/>
      <c r="E60" s="388"/>
      <c r="F60" s="388"/>
      <c r="G60" s="388"/>
      <c r="H60" s="388"/>
      <c r="I60" s="388"/>
      <c r="J60" s="388"/>
      <c r="K60" s="388"/>
      <c r="L60" s="388"/>
      <c r="M60" s="388"/>
      <c r="N60" s="388"/>
      <c r="O60" s="388"/>
      <c r="P60" s="388"/>
      <c r="Q60" s="388"/>
      <c r="R60" s="388"/>
      <c r="S60" s="388"/>
      <c r="T60" s="388"/>
      <c r="U60" s="388"/>
      <c r="V60" s="388"/>
      <c r="AA60" s="256"/>
    </row>
    <row r="61">
      <c r="A61" s="388"/>
      <c r="B61" s="388"/>
      <c r="C61" s="388"/>
      <c r="D61" s="388"/>
      <c r="E61" s="388"/>
      <c r="F61" s="388"/>
      <c r="G61" s="388"/>
      <c r="H61" s="388"/>
      <c r="I61" s="388"/>
      <c r="J61" s="388"/>
      <c r="K61" s="388"/>
      <c r="L61" s="388"/>
      <c r="M61" s="388"/>
      <c r="N61" s="388"/>
      <c r="O61" s="388"/>
      <c r="P61" s="388"/>
      <c r="Q61" s="388"/>
      <c r="R61" s="388"/>
      <c r="S61" s="388"/>
      <c r="T61" s="388"/>
      <c r="U61" s="388"/>
      <c r="V61" s="388"/>
      <c r="AA61" s="256"/>
    </row>
    <row r="62">
      <c r="A62" s="388"/>
      <c r="B62" s="388"/>
      <c r="C62" s="388"/>
      <c r="D62" s="388"/>
      <c r="E62" s="388"/>
      <c r="F62" s="388"/>
      <c r="G62" s="388"/>
      <c r="H62" s="388"/>
      <c r="I62" s="388"/>
      <c r="J62" s="388"/>
      <c r="K62" s="388"/>
      <c r="L62" s="388"/>
      <c r="M62" s="388"/>
      <c r="N62" s="388"/>
      <c r="O62" s="388"/>
      <c r="P62" s="388"/>
      <c r="Q62" s="388"/>
      <c r="R62" s="388"/>
      <c r="S62" s="388"/>
      <c r="T62" s="388"/>
      <c r="U62" s="388"/>
      <c r="V62" s="388"/>
      <c r="AA62" s="256"/>
    </row>
    <row r="63">
      <c r="A63" s="388"/>
      <c r="B63" s="388"/>
      <c r="C63" s="388"/>
      <c r="D63" s="388"/>
      <c r="E63" s="388"/>
      <c r="F63" s="388"/>
      <c r="G63" s="388"/>
      <c r="H63" s="388"/>
      <c r="I63" s="388"/>
      <c r="J63" s="388"/>
      <c r="K63" s="388"/>
      <c r="L63" s="388"/>
      <c r="M63" s="388"/>
      <c r="N63" s="388"/>
      <c r="O63" s="388"/>
      <c r="P63" s="388"/>
      <c r="Q63" s="388"/>
      <c r="R63" s="388"/>
      <c r="S63" s="388"/>
      <c r="T63" s="388"/>
      <c r="U63" s="388"/>
      <c r="V63" s="388"/>
      <c r="AA63" s="256"/>
    </row>
    <row r="64">
      <c r="A64" s="388"/>
      <c r="B64" s="388"/>
      <c r="C64" s="388"/>
      <c r="D64" s="388"/>
      <c r="E64" s="388"/>
      <c r="F64" s="388"/>
      <c r="G64" s="388"/>
      <c r="H64" s="388"/>
      <c r="I64" s="388"/>
      <c r="J64" s="388"/>
      <c r="K64" s="388"/>
      <c r="L64" s="388"/>
      <c r="M64" s="388"/>
      <c r="N64" s="388"/>
      <c r="O64" s="388"/>
      <c r="P64" s="388"/>
      <c r="Q64" s="388"/>
      <c r="R64" s="388"/>
      <c r="S64" s="388"/>
      <c r="T64" s="388"/>
      <c r="U64" s="388"/>
      <c r="V64" s="388"/>
      <c r="AA64" s="256"/>
    </row>
    <row r="65">
      <c r="A65" s="388"/>
      <c r="B65" s="388"/>
      <c r="C65" s="388"/>
      <c r="D65" s="388"/>
      <c r="E65" s="388"/>
      <c r="F65" s="388"/>
      <c r="G65" s="388"/>
      <c r="H65" s="388"/>
      <c r="I65" s="388"/>
      <c r="J65" s="388"/>
      <c r="K65" s="388"/>
      <c r="L65" s="388"/>
      <c r="M65" s="388"/>
      <c r="N65" s="388"/>
      <c r="O65" s="388"/>
      <c r="P65" s="388"/>
      <c r="Q65" s="388"/>
      <c r="R65" s="388"/>
      <c r="S65" s="388"/>
      <c r="T65" s="388"/>
      <c r="U65" s="388"/>
      <c r="V65" s="388"/>
      <c r="AA65" s="256"/>
    </row>
    <row r="66">
      <c r="A66" s="388"/>
      <c r="B66" s="388"/>
      <c r="C66" s="388"/>
      <c r="D66" s="388"/>
      <c r="E66" s="388"/>
      <c r="F66" s="388"/>
      <c r="G66" s="388"/>
      <c r="H66" s="388"/>
      <c r="I66" s="388"/>
      <c r="J66" s="388"/>
      <c r="K66" s="388"/>
      <c r="L66" s="388"/>
      <c r="M66" s="388"/>
      <c r="N66" s="388"/>
      <c r="O66" s="388"/>
      <c r="P66" s="388"/>
      <c r="Q66" s="388"/>
      <c r="R66" s="388"/>
      <c r="S66" s="388"/>
      <c r="T66" s="388"/>
      <c r="U66" s="388"/>
      <c r="V66" s="388"/>
      <c r="AA66" s="256"/>
    </row>
    <row r="67">
      <c r="A67" s="388"/>
      <c r="B67" s="388"/>
      <c r="C67" s="388"/>
      <c r="D67" s="388"/>
      <c r="E67" s="388"/>
      <c r="F67" s="388"/>
      <c r="G67" s="388"/>
      <c r="H67" s="388"/>
      <c r="I67" s="388"/>
      <c r="J67" s="388"/>
      <c r="K67" s="388"/>
      <c r="L67" s="388"/>
      <c r="M67" s="388"/>
      <c r="N67" s="388"/>
      <c r="O67" s="388"/>
      <c r="P67" s="388"/>
      <c r="Q67" s="388"/>
      <c r="R67" s="388"/>
      <c r="S67" s="388"/>
      <c r="T67" s="388"/>
      <c r="U67" s="388"/>
      <c r="V67" s="388"/>
      <c r="AA67" s="256"/>
    </row>
    <row r="68">
      <c r="A68" s="388"/>
      <c r="B68" s="388"/>
      <c r="C68" s="388"/>
      <c r="D68" s="388"/>
      <c r="E68" s="388"/>
      <c r="F68" s="388"/>
      <c r="G68" s="388"/>
      <c r="H68" s="388"/>
      <c r="I68" s="388"/>
      <c r="J68" s="388"/>
      <c r="K68" s="388"/>
      <c r="L68" s="388"/>
      <c r="M68" s="388"/>
      <c r="N68" s="388"/>
      <c r="O68" s="388"/>
      <c r="P68" s="388"/>
      <c r="Q68" s="388"/>
      <c r="R68" s="388"/>
      <c r="S68" s="388"/>
      <c r="T68" s="388"/>
      <c r="U68" s="388"/>
      <c r="V68" s="388"/>
      <c r="AA68" s="256"/>
    </row>
    <row r="69">
      <c r="A69" s="388"/>
      <c r="B69" s="388"/>
      <c r="C69" s="388"/>
      <c r="D69" s="388"/>
      <c r="E69" s="388"/>
      <c r="F69" s="388"/>
      <c r="G69" s="388"/>
      <c r="H69" s="388"/>
      <c r="I69" s="388"/>
      <c r="J69" s="388"/>
      <c r="K69" s="388"/>
      <c r="L69" s="388"/>
      <c r="M69" s="388"/>
      <c r="N69" s="388"/>
      <c r="O69" s="388"/>
      <c r="P69" s="388"/>
      <c r="Q69" s="388"/>
      <c r="R69" s="388"/>
      <c r="S69" s="388"/>
      <c r="T69" s="388"/>
      <c r="U69" s="388"/>
      <c r="V69" s="388"/>
      <c r="AA69" s="256"/>
    </row>
    <row r="70">
      <c r="A70" s="388"/>
      <c r="B70" s="388"/>
      <c r="C70" s="388"/>
      <c r="D70" s="388"/>
      <c r="E70" s="388"/>
      <c r="F70" s="388"/>
      <c r="G70" s="388"/>
      <c r="H70" s="388"/>
      <c r="I70" s="388"/>
      <c r="J70" s="388"/>
      <c r="K70" s="388"/>
      <c r="L70" s="388"/>
      <c r="M70" s="388"/>
      <c r="N70" s="388"/>
      <c r="O70" s="388"/>
      <c r="P70" s="388"/>
      <c r="Q70" s="388"/>
      <c r="R70" s="388"/>
      <c r="S70" s="388"/>
      <c r="T70" s="388"/>
      <c r="U70" s="388"/>
      <c r="V70" s="388"/>
      <c r="AA70" s="256"/>
    </row>
    <row r="71">
      <c r="A71" s="388"/>
      <c r="B71" s="388"/>
      <c r="C71" s="388"/>
      <c r="D71" s="388"/>
      <c r="E71" s="388"/>
      <c r="F71" s="388"/>
      <c r="G71" s="388"/>
      <c r="H71" s="388"/>
      <c r="I71" s="388"/>
      <c r="J71" s="388"/>
      <c r="K71" s="388"/>
      <c r="L71" s="388"/>
      <c r="M71" s="388"/>
      <c r="N71" s="388"/>
      <c r="O71" s="388"/>
      <c r="P71" s="388"/>
      <c r="Q71" s="388"/>
      <c r="R71" s="388"/>
      <c r="S71" s="388"/>
      <c r="T71" s="388"/>
      <c r="U71" s="388"/>
      <c r="V71" s="388"/>
      <c r="AA71" s="256"/>
    </row>
    <row r="72">
      <c r="A72" s="388"/>
      <c r="B72" s="388"/>
      <c r="C72" s="388"/>
      <c r="D72" s="388"/>
      <c r="E72" s="388"/>
      <c r="F72" s="388"/>
      <c r="G72" s="388"/>
      <c r="H72" s="388"/>
      <c r="I72" s="388"/>
      <c r="J72" s="388"/>
      <c r="K72" s="388"/>
      <c r="L72" s="388"/>
      <c r="M72" s="388"/>
      <c r="N72" s="388"/>
      <c r="O72" s="388"/>
      <c r="P72" s="388"/>
      <c r="Q72" s="388"/>
      <c r="R72" s="388"/>
      <c r="S72" s="388"/>
      <c r="T72" s="388"/>
      <c r="U72" s="388"/>
      <c r="V72" s="388"/>
      <c r="AA72" s="256"/>
    </row>
    <row r="73">
      <c r="A73" s="388"/>
      <c r="B73" s="388"/>
      <c r="C73" s="388"/>
      <c r="D73" s="388"/>
      <c r="E73" s="388"/>
      <c r="F73" s="388"/>
      <c r="G73" s="388"/>
      <c r="H73" s="388"/>
      <c r="I73" s="388"/>
      <c r="J73" s="388"/>
      <c r="K73" s="388"/>
      <c r="L73" s="388"/>
      <c r="M73" s="388"/>
      <c r="N73" s="388"/>
      <c r="O73" s="388"/>
      <c r="P73" s="388"/>
      <c r="Q73" s="388"/>
      <c r="R73" s="388"/>
      <c r="S73" s="388"/>
      <c r="T73" s="388"/>
      <c r="U73" s="388"/>
      <c r="V73" s="388"/>
      <c r="AA73" s="256"/>
    </row>
    <row r="74">
      <c r="A74" s="388"/>
      <c r="B74" s="388"/>
      <c r="C74" s="388"/>
      <c r="D74" s="388"/>
      <c r="E74" s="388"/>
      <c r="F74" s="388"/>
      <c r="G74" s="388"/>
      <c r="H74" s="388"/>
      <c r="I74" s="388"/>
      <c r="J74" s="388"/>
      <c r="K74" s="388"/>
      <c r="L74" s="388"/>
      <c r="M74" s="388"/>
      <c r="N74" s="388"/>
      <c r="O74" s="388"/>
      <c r="P74" s="388"/>
      <c r="Q74" s="388"/>
      <c r="R74" s="388"/>
      <c r="S74" s="388"/>
      <c r="T74" s="388"/>
      <c r="U74" s="388"/>
      <c r="V74" s="388"/>
      <c r="AA74" s="256"/>
    </row>
    <row r="75">
      <c r="A75" s="388"/>
      <c r="B75" s="388"/>
      <c r="C75" s="388"/>
      <c r="D75" s="388"/>
      <c r="E75" s="388"/>
      <c r="F75" s="388"/>
      <c r="G75" s="388"/>
      <c r="H75" s="388"/>
      <c r="I75" s="388"/>
      <c r="J75" s="388"/>
      <c r="K75" s="388"/>
      <c r="L75" s="388"/>
      <c r="M75" s="388"/>
      <c r="N75" s="388"/>
      <c r="O75" s="388"/>
      <c r="P75" s="388"/>
      <c r="Q75" s="388"/>
      <c r="R75" s="388"/>
      <c r="S75" s="388"/>
      <c r="T75" s="388"/>
      <c r="U75" s="388"/>
      <c r="V75" s="388"/>
      <c r="AA75" s="256"/>
    </row>
    <row r="76">
      <c r="A76" s="388"/>
      <c r="B76" s="388"/>
      <c r="C76" s="388"/>
      <c r="D76" s="388"/>
      <c r="E76" s="388"/>
      <c r="F76" s="388"/>
      <c r="G76" s="388"/>
      <c r="H76" s="388"/>
      <c r="I76" s="388"/>
      <c r="J76" s="388"/>
      <c r="K76" s="388"/>
      <c r="L76" s="388"/>
      <c r="M76" s="388"/>
      <c r="N76" s="388"/>
      <c r="O76" s="388"/>
      <c r="P76" s="388"/>
      <c r="Q76" s="388"/>
      <c r="R76" s="388"/>
      <c r="S76" s="388"/>
      <c r="T76" s="388"/>
      <c r="U76" s="388"/>
      <c r="V76" s="388"/>
      <c r="AA76" s="256"/>
    </row>
    <row r="77">
      <c r="A77" s="388"/>
      <c r="B77" s="388"/>
      <c r="C77" s="388"/>
      <c r="D77" s="388"/>
      <c r="E77" s="388"/>
      <c r="F77" s="388"/>
      <c r="G77" s="388"/>
      <c r="H77" s="388"/>
      <c r="I77" s="388"/>
      <c r="J77" s="388"/>
      <c r="K77" s="388"/>
      <c r="L77" s="388"/>
      <c r="M77" s="388"/>
      <c r="N77" s="388"/>
      <c r="O77" s="388"/>
      <c r="P77" s="388"/>
      <c r="Q77" s="388"/>
      <c r="R77" s="388"/>
      <c r="S77" s="388"/>
      <c r="T77" s="388"/>
      <c r="U77" s="388"/>
      <c r="V77" s="388"/>
      <c r="AA77" s="256"/>
    </row>
    <row r="78">
      <c r="A78" s="388"/>
      <c r="B78" s="388"/>
      <c r="C78" s="388"/>
      <c r="D78" s="388"/>
      <c r="E78" s="388"/>
      <c r="F78" s="388"/>
      <c r="G78" s="388"/>
      <c r="H78" s="388"/>
      <c r="I78" s="388"/>
      <c r="J78" s="388"/>
      <c r="K78" s="388"/>
      <c r="L78" s="388"/>
      <c r="M78" s="388"/>
      <c r="N78" s="388"/>
      <c r="O78" s="388"/>
      <c r="P78" s="388"/>
      <c r="Q78" s="388"/>
      <c r="R78" s="388"/>
      <c r="S78" s="388"/>
      <c r="T78" s="388"/>
      <c r="U78" s="388"/>
      <c r="V78" s="388"/>
      <c r="AA78" s="256"/>
    </row>
    <row r="79">
      <c r="A79" s="388"/>
      <c r="B79" s="388"/>
      <c r="C79" s="388"/>
      <c r="D79" s="388"/>
      <c r="E79" s="388"/>
      <c r="F79" s="388"/>
      <c r="G79" s="388"/>
      <c r="H79" s="388"/>
      <c r="I79" s="388"/>
      <c r="J79" s="388"/>
      <c r="K79" s="388"/>
      <c r="L79" s="388"/>
      <c r="M79" s="388"/>
      <c r="N79" s="388"/>
      <c r="O79" s="388"/>
      <c r="P79" s="388"/>
      <c r="Q79" s="388"/>
      <c r="R79" s="388"/>
      <c r="S79" s="388"/>
      <c r="T79" s="388"/>
      <c r="U79" s="388"/>
      <c r="V79" s="388"/>
      <c r="AA79" s="256"/>
    </row>
    <row r="80">
      <c r="A80" s="388"/>
      <c r="B80" s="388"/>
      <c r="C80" s="388"/>
      <c r="D80" s="388"/>
      <c r="E80" s="388"/>
      <c r="F80" s="388"/>
      <c r="G80" s="388"/>
      <c r="H80" s="388"/>
      <c r="I80" s="388"/>
      <c r="J80" s="388"/>
      <c r="K80" s="388"/>
      <c r="L80" s="388"/>
      <c r="M80" s="388"/>
      <c r="N80" s="388"/>
      <c r="O80" s="388"/>
      <c r="P80" s="388"/>
      <c r="Q80" s="388"/>
      <c r="R80" s="388"/>
      <c r="S80" s="388"/>
      <c r="T80" s="388"/>
      <c r="U80" s="388"/>
      <c r="V80" s="388"/>
      <c r="AA80" s="256"/>
    </row>
    <row r="81">
      <c r="A81" s="388"/>
      <c r="B81" s="388"/>
      <c r="C81" s="388"/>
      <c r="D81" s="388"/>
      <c r="E81" s="388"/>
      <c r="F81" s="388"/>
      <c r="G81" s="388"/>
      <c r="H81" s="388"/>
      <c r="I81" s="388"/>
      <c r="J81" s="388"/>
      <c r="K81" s="388"/>
      <c r="L81" s="388"/>
      <c r="M81" s="388"/>
      <c r="N81" s="388"/>
      <c r="O81" s="388"/>
      <c r="P81" s="388"/>
      <c r="Q81" s="388"/>
      <c r="R81" s="388"/>
      <c r="S81" s="388"/>
      <c r="T81" s="388"/>
      <c r="U81" s="388"/>
      <c r="V81" s="388"/>
      <c r="AA81" s="256"/>
    </row>
    <row r="82">
      <c r="A82" s="388"/>
      <c r="B82" s="388"/>
      <c r="C82" s="388"/>
      <c r="D82" s="388"/>
      <c r="E82" s="388"/>
      <c r="F82" s="388"/>
      <c r="G82" s="388"/>
      <c r="H82" s="388"/>
      <c r="I82" s="388"/>
      <c r="J82" s="388"/>
      <c r="K82" s="388"/>
      <c r="L82" s="388"/>
      <c r="M82" s="388"/>
      <c r="N82" s="388"/>
      <c r="O82" s="388"/>
      <c r="P82" s="388"/>
      <c r="Q82" s="388"/>
      <c r="R82" s="388"/>
      <c r="S82" s="388"/>
      <c r="T82" s="388"/>
      <c r="U82" s="388"/>
      <c r="V82" s="388"/>
      <c r="AA82" s="256"/>
    </row>
    <row r="83">
      <c r="A83" s="388"/>
      <c r="B83" s="388"/>
      <c r="C83" s="388"/>
      <c r="D83" s="388"/>
      <c r="E83" s="388"/>
      <c r="F83" s="388"/>
      <c r="G83" s="388"/>
      <c r="H83" s="388"/>
      <c r="I83" s="388"/>
      <c r="J83" s="388"/>
      <c r="K83" s="388"/>
      <c r="L83" s="388"/>
      <c r="M83" s="388"/>
      <c r="N83" s="388"/>
      <c r="O83" s="388"/>
      <c r="P83" s="388"/>
      <c r="Q83" s="388"/>
      <c r="R83" s="388"/>
      <c r="S83" s="388"/>
      <c r="T83" s="388"/>
      <c r="U83" s="388"/>
      <c r="V83" s="388"/>
      <c r="AA83" s="256"/>
    </row>
    <row r="84">
      <c r="A84" s="388"/>
      <c r="B84" s="388"/>
      <c r="C84" s="388"/>
      <c r="D84" s="388"/>
      <c r="E84" s="388"/>
      <c r="F84" s="388"/>
      <c r="G84" s="388"/>
      <c r="H84" s="388"/>
      <c r="I84" s="388"/>
      <c r="J84" s="388"/>
      <c r="K84" s="388"/>
      <c r="L84" s="388"/>
      <c r="M84" s="388"/>
      <c r="N84" s="388"/>
      <c r="O84" s="388"/>
      <c r="P84" s="388"/>
      <c r="Q84" s="388"/>
      <c r="R84" s="388"/>
      <c r="S84" s="388"/>
      <c r="T84" s="388"/>
      <c r="U84" s="388"/>
      <c r="V84" s="388"/>
      <c r="AA84" s="256"/>
    </row>
    <row r="85">
      <c r="A85" s="388"/>
      <c r="B85" s="388"/>
      <c r="C85" s="388"/>
      <c r="D85" s="388"/>
      <c r="E85" s="388"/>
      <c r="F85" s="388"/>
      <c r="G85" s="388"/>
      <c r="H85" s="388"/>
      <c r="I85" s="388"/>
      <c r="J85" s="388"/>
      <c r="K85" s="388"/>
      <c r="L85" s="388"/>
      <c r="M85" s="388"/>
      <c r="N85" s="388"/>
      <c r="O85" s="388"/>
      <c r="P85" s="388"/>
      <c r="Q85" s="388"/>
      <c r="R85" s="388"/>
      <c r="S85" s="388"/>
      <c r="T85" s="388"/>
      <c r="U85" s="388"/>
      <c r="V85" s="388"/>
      <c r="AA85" s="256"/>
    </row>
    <row r="86">
      <c r="A86" s="388"/>
      <c r="B86" s="388"/>
      <c r="C86" s="388"/>
      <c r="D86" s="388"/>
      <c r="E86" s="388"/>
      <c r="F86" s="388"/>
      <c r="G86" s="388"/>
      <c r="H86" s="388"/>
      <c r="I86" s="388"/>
      <c r="J86" s="388"/>
      <c r="K86" s="388"/>
      <c r="L86" s="388"/>
      <c r="M86" s="388"/>
      <c r="N86" s="388"/>
      <c r="O86" s="388"/>
      <c r="P86" s="388"/>
      <c r="Q86" s="388"/>
      <c r="R86" s="388"/>
      <c r="S86" s="388"/>
      <c r="T86" s="388"/>
      <c r="U86" s="388"/>
      <c r="V86" s="388"/>
      <c r="AA86" s="256"/>
    </row>
    <row r="87">
      <c r="A87" s="388"/>
      <c r="B87" s="388"/>
      <c r="C87" s="388"/>
      <c r="D87" s="388"/>
      <c r="E87" s="388"/>
      <c r="F87" s="388"/>
      <c r="G87" s="388"/>
      <c r="H87" s="388"/>
      <c r="I87" s="388"/>
      <c r="J87" s="388"/>
      <c r="K87" s="388"/>
      <c r="L87" s="388"/>
      <c r="M87" s="388"/>
      <c r="N87" s="388"/>
      <c r="O87" s="388"/>
      <c r="P87" s="388"/>
      <c r="Q87" s="388"/>
      <c r="R87" s="388"/>
      <c r="S87" s="388"/>
      <c r="T87" s="388"/>
      <c r="U87" s="388"/>
      <c r="V87" s="388"/>
      <c r="AA87" s="256"/>
    </row>
    <row r="88">
      <c r="A88" s="388"/>
      <c r="B88" s="388"/>
      <c r="C88" s="388"/>
      <c r="D88" s="388"/>
      <c r="E88" s="388"/>
      <c r="F88" s="388"/>
      <c r="G88" s="388"/>
      <c r="H88" s="388"/>
      <c r="I88" s="388"/>
      <c r="J88" s="388"/>
      <c r="K88" s="388"/>
      <c r="L88" s="388"/>
      <c r="M88" s="388"/>
      <c r="N88" s="388"/>
      <c r="O88" s="388"/>
      <c r="P88" s="388"/>
      <c r="Q88" s="388"/>
      <c r="R88" s="388"/>
      <c r="S88" s="388"/>
      <c r="T88" s="388"/>
      <c r="U88" s="388"/>
      <c r="V88" s="388"/>
      <c r="AA88" s="256"/>
    </row>
    <row r="89">
      <c r="A89" s="388"/>
      <c r="B89" s="388"/>
      <c r="C89" s="388"/>
      <c r="D89" s="388"/>
      <c r="E89" s="388"/>
      <c r="F89" s="388"/>
      <c r="G89" s="388"/>
      <c r="H89" s="388"/>
      <c r="I89" s="388"/>
      <c r="J89" s="388"/>
      <c r="K89" s="388"/>
      <c r="L89" s="388"/>
      <c r="M89" s="388"/>
      <c r="N89" s="388"/>
      <c r="O89" s="388"/>
      <c r="P89" s="388"/>
      <c r="Q89" s="388"/>
      <c r="R89" s="388"/>
      <c r="S89" s="388"/>
      <c r="T89" s="388"/>
      <c r="U89" s="388"/>
      <c r="V89" s="388"/>
      <c r="AA89" s="256"/>
    </row>
    <row r="90">
      <c r="A90" s="388"/>
      <c r="B90" s="388"/>
      <c r="C90" s="388"/>
      <c r="D90" s="388"/>
      <c r="E90" s="388"/>
      <c r="F90" s="388"/>
      <c r="G90" s="388"/>
      <c r="H90" s="388"/>
      <c r="I90" s="388"/>
      <c r="J90" s="388"/>
      <c r="K90" s="388"/>
      <c r="L90" s="388"/>
      <c r="M90" s="388"/>
      <c r="N90" s="388"/>
      <c r="O90" s="388"/>
      <c r="P90" s="388"/>
      <c r="Q90" s="388"/>
      <c r="R90" s="388"/>
      <c r="S90" s="388"/>
      <c r="T90" s="388"/>
      <c r="U90" s="388"/>
      <c r="V90" s="388"/>
      <c r="AA90" s="256"/>
    </row>
    <row r="91">
      <c r="A91" s="388"/>
      <c r="B91" s="388"/>
      <c r="C91" s="388"/>
      <c r="D91" s="388"/>
      <c r="E91" s="388"/>
      <c r="F91" s="388"/>
      <c r="G91" s="388"/>
      <c r="H91" s="388"/>
      <c r="I91" s="388"/>
      <c r="J91" s="388"/>
      <c r="K91" s="388"/>
      <c r="L91" s="388"/>
      <c r="M91" s="388"/>
      <c r="N91" s="388"/>
      <c r="O91" s="388"/>
      <c r="P91" s="388"/>
      <c r="Q91" s="388"/>
      <c r="R91" s="388"/>
      <c r="S91" s="388"/>
      <c r="T91" s="388"/>
      <c r="U91" s="388"/>
      <c r="V91" s="388"/>
      <c r="AA91" s="256"/>
    </row>
    <row r="92">
      <c r="A92" s="388"/>
      <c r="B92" s="388"/>
      <c r="C92" s="388"/>
      <c r="D92" s="388"/>
      <c r="E92" s="388"/>
      <c r="F92" s="388"/>
      <c r="G92" s="388"/>
      <c r="H92" s="388"/>
      <c r="I92" s="388"/>
      <c r="J92" s="388"/>
      <c r="K92" s="388"/>
      <c r="L92" s="388"/>
      <c r="M92" s="388"/>
      <c r="N92" s="388"/>
      <c r="O92" s="388"/>
      <c r="P92" s="388"/>
      <c r="Q92" s="388"/>
      <c r="R92" s="388"/>
      <c r="S92" s="388"/>
      <c r="T92" s="388"/>
      <c r="U92" s="388"/>
      <c r="V92" s="388"/>
      <c r="AA92" s="256"/>
    </row>
    <row r="93">
      <c r="A93" s="388"/>
      <c r="B93" s="388"/>
      <c r="C93" s="388"/>
      <c r="D93" s="388"/>
      <c r="E93" s="388"/>
      <c r="F93" s="388"/>
      <c r="G93" s="388"/>
      <c r="H93" s="388"/>
      <c r="I93" s="388"/>
      <c r="J93" s="388"/>
      <c r="K93" s="388"/>
      <c r="L93" s="388"/>
      <c r="M93" s="388"/>
      <c r="N93" s="388"/>
      <c r="O93" s="388"/>
      <c r="P93" s="388"/>
      <c r="Q93" s="388"/>
      <c r="R93" s="388"/>
      <c r="S93" s="388"/>
      <c r="T93" s="388"/>
      <c r="U93" s="388"/>
      <c r="V93" s="388"/>
      <c r="AA93" s="256"/>
    </row>
    <row r="94">
      <c r="A94" s="388"/>
      <c r="B94" s="388"/>
      <c r="C94" s="388"/>
      <c r="D94" s="388"/>
      <c r="E94" s="388"/>
      <c r="F94" s="388"/>
      <c r="G94" s="388"/>
      <c r="H94" s="388"/>
      <c r="I94" s="388"/>
      <c r="J94" s="388"/>
      <c r="K94" s="388"/>
      <c r="L94" s="388"/>
      <c r="M94" s="388"/>
      <c r="N94" s="388"/>
      <c r="O94" s="388"/>
      <c r="P94" s="388"/>
      <c r="Q94" s="388"/>
      <c r="R94" s="388"/>
      <c r="S94" s="388"/>
      <c r="T94" s="388"/>
      <c r="U94" s="388"/>
      <c r="V94" s="388"/>
      <c r="AA94" s="256"/>
    </row>
    <row r="95">
      <c r="A95" s="388"/>
      <c r="B95" s="388"/>
      <c r="C95" s="388"/>
      <c r="D95" s="388"/>
      <c r="E95" s="388"/>
      <c r="F95" s="388"/>
      <c r="G95" s="388"/>
      <c r="H95" s="388"/>
      <c r="I95" s="388"/>
      <c r="J95" s="388"/>
      <c r="K95" s="388"/>
      <c r="L95" s="388"/>
      <c r="M95" s="388"/>
      <c r="N95" s="388"/>
      <c r="O95" s="388"/>
      <c r="P95" s="388"/>
      <c r="Q95" s="388"/>
      <c r="R95" s="388"/>
      <c r="S95" s="388"/>
      <c r="T95" s="388"/>
      <c r="U95" s="388"/>
      <c r="V95" s="388"/>
      <c r="AA95" s="256"/>
    </row>
    <row r="96">
      <c r="A96" s="388"/>
      <c r="B96" s="388"/>
      <c r="C96" s="388"/>
      <c r="D96" s="388"/>
      <c r="E96" s="388"/>
      <c r="F96" s="388"/>
      <c r="G96" s="388"/>
      <c r="H96" s="388"/>
      <c r="I96" s="388"/>
      <c r="J96" s="388"/>
      <c r="K96" s="388"/>
      <c r="L96" s="388"/>
      <c r="M96" s="388"/>
      <c r="N96" s="388"/>
      <c r="O96" s="388"/>
      <c r="P96" s="388"/>
      <c r="Q96" s="388"/>
      <c r="R96" s="388"/>
      <c r="S96" s="388"/>
      <c r="T96" s="388"/>
      <c r="U96" s="388"/>
      <c r="V96" s="388"/>
      <c r="AA96" s="256"/>
    </row>
    <row r="97">
      <c r="A97" s="388"/>
      <c r="B97" s="388"/>
      <c r="C97" s="388"/>
      <c r="D97" s="388"/>
      <c r="E97" s="388"/>
      <c r="F97" s="388"/>
      <c r="G97" s="388"/>
      <c r="H97" s="388"/>
      <c r="I97" s="388"/>
      <c r="J97" s="388"/>
      <c r="K97" s="388"/>
      <c r="L97" s="388"/>
      <c r="M97" s="388"/>
      <c r="N97" s="388"/>
      <c r="O97" s="388"/>
      <c r="P97" s="388"/>
      <c r="Q97" s="388"/>
      <c r="R97" s="388"/>
      <c r="S97" s="388"/>
      <c r="T97" s="388"/>
      <c r="U97" s="388"/>
      <c r="V97" s="388"/>
      <c r="AA97" s="256"/>
    </row>
    <row r="98">
      <c r="A98" s="388"/>
      <c r="B98" s="388"/>
      <c r="C98" s="388"/>
      <c r="D98" s="388"/>
      <c r="E98" s="388"/>
      <c r="F98" s="388"/>
      <c r="G98" s="388"/>
      <c r="H98" s="388"/>
      <c r="I98" s="388"/>
      <c r="J98" s="388"/>
      <c r="K98" s="388"/>
      <c r="L98" s="388"/>
      <c r="M98" s="388"/>
      <c r="N98" s="388"/>
      <c r="O98" s="388"/>
      <c r="P98" s="388"/>
      <c r="Q98" s="388"/>
      <c r="R98" s="388"/>
      <c r="S98" s="388"/>
      <c r="T98" s="388"/>
      <c r="U98" s="388"/>
      <c r="V98" s="388"/>
      <c r="AA98" s="256"/>
    </row>
    <row r="99">
      <c r="A99" s="388"/>
      <c r="B99" s="388"/>
      <c r="C99" s="388"/>
      <c r="D99" s="388"/>
      <c r="E99" s="388"/>
      <c r="F99" s="388"/>
      <c r="G99" s="388"/>
      <c r="H99" s="388"/>
      <c r="I99" s="388"/>
      <c r="J99" s="388"/>
      <c r="K99" s="388"/>
      <c r="L99" s="388"/>
      <c r="M99" s="388"/>
      <c r="N99" s="388"/>
      <c r="O99" s="388"/>
      <c r="P99" s="388"/>
      <c r="Q99" s="388"/>
      <c r="R99" s="388"/>
      <c r="S99" s="388"/>
      <c r="T99" s="388"/>
      <c r="U99" s="388"/>
      <c r="V99" s="388"/>
      <c r="AA99" s="256"/>
    </row>
    <row r="100">
      <c r="A100" s="388"/>
      <c r="B100" s="388"/>
      <c r="C100" s="388"/>
      <c r="D100" s="388"/>
      <c r="E100" s="388"/>
      <c r="F100" s="388"/>
      <c r="G100" s="388"/>
      <c r="H100" s="388"/>
      <c r="I100" s="388"/>
      <c r="J100" s="388"/>
      <c r="K100" s="388"/>
      <c r="L100" s="388"/>
      <c r="M100" s="388"/>
      <c r="N100" s="388"/>
      <c r="O100" s="388"/>
      <c r="P100" s="388"/>
      <c r="Q100" s="388"/>
      <c r="R100" s="388"/>
      <c r="S100" s="388"/>
      <c r="T100" s="388"/>
      <c r="U100" s="388"/>
      <c r="V100" s="388"/>
      <c r="AA100" s="256"/>
    </row>
    <row r="101">
      <c r="A101" s="388"/>
      <c r="B101" s="388"/>
      <c r="C101" s="388"/>
      <c r="D101" s="388"/>
      <c r="E101" s="388"/>
      <c r="F101" s="388"/>
      <c r="G101" s="388"/>
      <c r="H101" s="388"/>
      <c r="I101" s="388"/>
      <c r="J101" s="388"/>
      <c r="K101" s="388"/>
      <c r="L101" s="388"/>
      <c r="M101" s="388"/>
      <c r="N101" s="388"/>
      <c r="O101" s="388"/>
      <c r="P101" s="388"/>
      <c r="Q101" s="388"/>
      <c r="R101" s="388"/>
      <c r="S101" s="388"/>
      <c r="T101" s="388"/>
      <c r="U101" s="388"/>
      <c r="V101" s="388"/>
      <c r="AA101" s="256"/>
    </row>
    <row r="102">
      <c r="A102" s="388"/>
      <c r="B102" s="388"/>
      <c r="C102" s="388"/>
      <c r="D102" s="388"/>
      <c r="E102" s="388"/>
      <c r="F102" s="388"/>
      <c r="G102" s="388"/>
      <c r="H102" s="388"/>
      <c r="I102" s="388"/>
      <c r="J102" s="388"/>
      <c r="K102" s="388"/>
      <c r="L102" s="388"/>
      <c r="M102" s="388"/>
      <c r="N102" s="388"/>
      <c r="O102" s="388"/>
      <c r="P102" s="388"/>
      <c r="Q102" s="388"/>
      <c r="R102" s="388"/>
      <c r="S102" s="388"/>
      <c r="T102" s="388"/>
      <c r="U102" s="388"/>
      <c r="V102" s="388"/>
      <c r="AA102" s="256"/>
    </row>
    <row r="103">
      <c r="A103" s="388"/>
      <c r="B103" s="388"/>
      <c r="C103" s="388"/>
      <c r="D103" s="388"/>
      <c r="E103" s="388"/>
      <c r="F103" s="388"/>
      <c r="G103" s="388"/>
      <c r="H103" s="388"/>
      <c r="I103" s="388"/>
      <c r="J103" s="388"/>
      <c r="K103" s="388"/>
      <c r="L103" s="388"/>
      <c r="M103" s="388"/>
      <c r="N103" s="388"/>
      <c r="O103" s="388"/>
      <c r="P103" s="388"/>
      <c r="Q103" s="388"/>
      <c r="R103" s="388"/>
      <c r="S103" s="388"/>
      <c r="T103" s="388"/>
      <c r="U103" s="388"/>
      <c r="V103" s="388"/>
      <c r="AA103" s="256"/>
    </row>
    <row r="104">
      <c r="A104" s="388"/>
      <c r="B104" s="388"/>
      <c r="C104" s="388"/>
      <c r="D104" s="388"/>
      <c r="E104" s="388"/>
      <c r="F104" s="388"/>
      <c r="G104" s="388"/>
      <c r="H104" s="388"/>
      <c r="I104" s="388"/>
      <c r="J104" s="388"/>
      <c r="K104" s="388"/>
      <c r="L104" s="388"/>
      <c r="M104" s="388"/>
      <c r="N104" s="388"/>
      <c r="O104" s="388"/>
      <c r="P104" s="388"/>
      <c r="Q104" s="388"/>
      <c r="R104" s="388"/>
      <c r="S104" s="388"/>
      <c r="T104" s="388"/>
      <c r="U104" s="388"/>
      <c r="V104" s="388"/>
      <c r="AA104" s="256"/>
    </row>
    <row r="105">
      <c r="A105" s="388"/>
      <c r="B105" s="388"/>
      <c r="C105" s="388"/>
      <c r="D105" s="388"/>
      <c r="E105" s="388"/>
      <c r="F105" s="388"/>
      <c r="G105" s="388"/>
      <c r="H105" s="388"/>
      <c r="I105" s="388"/>
      <c r="J105" s="388"/>
      <c r="K105" s="388"/>
      <c r="L105" s="388"/>
      <c r="M105" s="388"/>
      <c r="N105" s="388"/>
      <c r="O105" s="388"/>
      <c r="P105" s="388"/>
      <c r="Q105" s="388"/>
      <c r="R105" s="388"/>
      <c r="S105" s="388"/>
      <c r="T105" s="388"/>
      <c r="U105" s="388"/>
      <c r="V105" s="388"/>
      <c r="AA105" s="256"/>
    </row>
    <row r="106">
      <c r="A106" s="388"/>
      <c r="B106" s="388"/>
      <c r="C106" s="388"/>
      <c r="D106" s="388"/>
      <c r="E106" s="388"/>
      <c r="F106" s="388"/>
      <c r="G106" s="388"/>
      <c r="H106" s="388"/>
      <c r="I106" s="388"/>
      <c r="J106" s="388"/>
      <c r="K106" s="388"/>
      <c r="L106" s="388"/>
      <c r="M106" s="388"/>
      <c r="N106" s="388"/>
      <c r="O106" s="388"/>
      <c r="P106" s="388"/>
      <c r="Q106" s="388"/>
      <c r="R106" s="388"/>
      <c r="S106" s="388"/>
      <c r="T106" s="388"/>
      <c r="U106" s="388"/>
      <c r="V106" s="388"/>
      <c r="AA106" s="256"/>
    </row>
    <row r="107">
      <c r="A107" s="388"/>
      <c r="B107" s="388"/>
      <c r="C107" s="388"/>
      <c r="D107" s="388"/>
      <c r="E107" s="388"/>
      <c r="F107" s="388"/>
      <c r="G107" s="388"/>
      <c r="H107" s="388"/>
      <c r="I107" s="388"/>
      <c r="J107" s="388"/>
      <c r="K107" s="388"/>
      <c r="L107" s="388"/>
      <c r="M107" s="388"/>
      <c r="N107" s="388"/>
      <c r="O107" s="388"/>
      <c r="P107" s="388"/>
      <c r="Q107" s="388"/>
      <c r="R107" s="388"/>
      <c r="S107" s="388"/>
      <c r="T107" s="388"/>
      <c r="U107" s="388"/>
      <c r="V107" s="388"/>
      <c r="AA107" s="256"/>
    </row>
    <row r="108">
      <c r="A108" s="388"/>
      <c r="B108" s="388"/>
      <c r="C108" s="388"/>
      <c r="D108" s="388"/>
      <c r="E108" s="388"/>
      <c r="F108" s="388"/>
      <c r="G108" s="388"/>
      <c r="H108" s="388"/>
      <c r="I108" s="388"/>
      <c r="J108" s="388"/>
      <c r="K108" s="388"/>
      <c r="L108" s="388"/>
      <c r="M108" s="388"/>
      <c r="N108" s="388"/>
      <c r="O108" s="388"/>
      <c r="P108" s="388"/>
      <c r="Q108" s="388"/>
      <c r="R108" s="388"/>
      <c r="S108" s="388"/>
      <c r="T108" s="388"/>
      <c r="U108" s="388"/>
      <c r="V108" s="388"/>
      <c r="AA108" s="256"/>
    </row>
    <row r="109">
      <c r="A109" s="388"/>
      <c r="B109" s="388"/>
      <c r="C109" s="388"/>
      <c r="D109" s="388"/>
      <c r="E109" s="388"/>
      <c r="F109" s="388"/>
      <c r="G109" s="388"/>
      <c r="H109" s="388"/>
      <c r="I109" s="388"/>
      <c r="J109" s="388"/>
      <c r="K109" s="388"/>
      <c r="L109" s="388"/>
      <c r="M109" s="388"/>
      <c r="N109" s="388"/>
      <c r="O109" s="388"/>
      <c r="P109" s="388"/>
      <c r="Q109" s="388"/>
      <c r="R109" s="388"/>
      <c r="S109" s="388"/>
      <c r="T109" s="388"/>
      <c r="U109" s="388"/>
      <c r="V109" s="388"/>
      <c r="AA109" s="256"/>
    </row>
    <row r="110">
      <c r="A110" s="388"/>
      <c r="B110" s="388"/>
      <c r="C110" s="388"/>
      <c r="D110" s="388"/>
      <c r="E110" s="388"/>
      <c r="F110" s="388"/>
      <c r="G110" s="388"/>
      <c r="H110" s="388"/>
      <c r="I110" s="388"/>
      <c r="J110" s="388"/>
      <c r="K110" s="388"/>
      <c r="L110" s="388"/>
      <c r="M110" s="388"/>
      <c r="N110" s="388"/>
      <c r="O110" s="388"/>
      <c r="P110" s="388"/>
      <c r="Q110" s="388"/>
      <c r="R110" s="388"/>
      <c r="S110" s="388"/>
      <c r="T110" s="388"/>
      <c r="U110" s="388"/>
      <c r="V110" s="388"/>
      <c r="AA110" s="256"/>
    </row>
    <row r="111">
      <c r="A111" s="388"/>
      <c r="B111" s="388"/>
      <c r="C111" s="388"/>
      <c r="D111" s="388"/>
      <c r="E111" s="388"/>
      <c r="F111" s="388"/>
      <c r="G111" s="388"/>
      <c r="H111" s="388"/>
      <c r="I111" s="388"/>
      <c r="J111" s="388"/>
      <c r="K111" s="388"/>
      <c r="L111" s="388"/>
      <c r="M111" s="388"/>
      <c r="N111" s="388"/>
      <c r="O111" s="388"/>
      <c r="P111" s="388"/>
      <c r="Q111" s="388"/>
      <c r="R111" s="388"/>
      <c r="S111" s="388"/>
      <c r="T111" s="388"/>
      <c r="U111" s="388"/>
      <c r="V111" s="388"/>
      <c r="AA111" s="256"/>
    </row>
    <row r="112">
      <c r="A112" s="388"/>
      <c r="B112" s="388"/>
      <c r="C112" s="388"/>
      <c r="D112" s="388"/>
      <c r="E112" s="388"/>
      <c r="F112" s="388"/>
      <c r="G112" s="388"/>
      <c r="H112" s="388"/>
      <c r="I112" s="388"/>
      <c r="J112" s="388"/>
      <c r="K112" s="388"/>
      <c r="L112" s="388"/>
      <c r="M112" s="388"/>
      <c r="N112" s="388"/>
      <c r="O112" s="388"/>
      <c r="P112" s="388"/>
      <c r="Q112" s="388"/>
      <c r="R112" s="388"/>
      <c r="S112" s="388"/>
      <c r="T112" s="388"/>
      <c r="U112" s="388"/>
      <c r="V112" s="388"/>
      <c r="AA112" s="256"/>
    </row>
    <row r="113">
      <c r="A113" s="388"/>
      <c r="B113" s="388"/>
      <c r="C113" s="388"/>
      <c r="D113" s="388"/>
      <c r="E113" s="388"/>
      <c r="F113" s="388"/>
      <c r="G113" s="388"/>
      <c r="H113" s="388"/>
      <c r="I113" s="388"/>
      <c r="J113" s="388"/>
      <c r="K113" s="388"/>
      <c r="L113" s="388"/>
      <c r="M113" s="388"/>
      <c r="N113" s="388"/>
      <c r="O113" s="388"/>
      <c r="P113" s="388"/>
      <c r="Q113" s="388"/>
      <c r="R113" s="388"/>
      <c r="S113" s="388"/>
      <c r="T113" s="388"/>
      <c r="U113" s="388"/>
      <c r="V113" s="388"/>
      <c r="AA113" s="256"/>
    </row>
    <row r="114">
      <c r="A114" s="388"/>
      <c r="B114" s="388"/>
      <c r="C114" s="388"/>
      <c r="D114" s="388"/>
      <c r="E114" s="388"/>
      <c r="F114" s="388"/>
      <c r="G114" s="388"/>
      <c r="H114" s="388"/>
      <c r="I114" s="388"/>
      <c r="J114" s="388"/>
      <c r="K114" s="388"/>
      <c r="L114" s="388"/>
      <c r="M114" s="388"/>
      <c r="N114" s="388"/>
      <c r="O114" s="388"/>
      <c r="P114" s="388"/>
      <c r="Q114" s="388"/>
      <c r="R114" s="388"/>
      <c r="S114" s="388"/>
      <c r="T114" s="388"/>
      <c r="U114" s="388"/>
      <c r="V114" s="388"/>
      <c r="AA114" s="256"/>
    </row>
    <row r="115">
      <c r="A115" s="388"/>
      <c r="B115" s="388"/>
      <c r="C115" s="388"/>
      <c r="D115" s="388"/>
      <c r="E115" s="388"/>
      <c r="F115" s="388"/>
      <c r="G115" s="388"/>
      <c r="H115" s="388"/>
      <c r="I115" s="388"/>
      <c r="J115" s="388"/>
      <c r="K115" s="388"/>
      <c r="L115" s="388"/>
      <c r="M115" s="388"/>
      <c r="N115" s="388"/>
      <c r="O115" s="388"/>
      <c r="P115" s="388"/>
      <c r="Q115" s="388"/>
      <c r="R115" s="388"/>
      <c r="S115" s="388"/>
      <c r="T115" s="388"/>
      <c r="U115" s="388"/>
      <c r="V115" s="388"/>
      <c r="AA115" s="256"/>
    </row>
    <row r="116">
      <c r="A116" s="388"/>
      <c r="B116" s="388"/>
      <c r="C116" s="388"/>
      <c r="D116" s="388"/>
      <c r="E116" s="388"/>
      <c r="F116" s="388"/>
      <c r="G116" s="388"/>
      <c r="H116" s="388"/>
      <c r="I116" s="388"/>
      <c r="J116" s="388"/>
      <c r="K116" s="388"/>
      <c r="L116" s="388"/>
      <c r="M116" s="388"/>
      <c r="N116" s="388"/>
      <c r="O116" s="388"/>
      <c r="P116" s="388"/>
      <c r="Q116" s="388"/>
      <c r="R116" s="388"/>
      <c r="S116" s="388"/>
      <c r="T116" s="388"/>
      <c r="U116" s="388"/>
      <c r="V116" s="388"/>
      <c r="AA116" s="256"/>
    </row>
    <row r="117">
      <c r="A117" s="388"/>
      <c r="B117" s="388"/>
      <c r="C117" s="388"/>
      <c r="D117" s="388"/>
      <c r="E117" s="388"/>
      <c r="F117" s="388"/>
      <c r="G117" s="388"/>
      <c r="H117" s="388"/>
      <c r="I117" s="388"/>
      <c r="J117" s="388"/>
      <c r="K117" s="388"/>
      <c r="L117" s="388"/>
      <c r="M117" s="388"/>
      <c r="N117" s="388"/>
      <c r="O117" s="388"/>
      <c r="P117" s="388"/>
      <c r="Q117" s="388"/>
      <c r="R117" s="388"/>
      <c r="S117" s="388"/>
      <c r="T117" s="388"/>
      <c r="U117" s="388"/>
      <c r="V117" s="388"/>
      <c r="AA117" s="256"/>
    </row>
    <row r="118">
      <c r="A118" s="388"/>
      <c r="B118" s="388"/>
      <c r="C118" s="388"/>
      <c r="D118" s="388"/>
      <c r="E118" s="388"/>
      <c r="F118" s="388"/>
      <c r="G118" s="388"/>
      <c r="H118" s="388"/>
      <c r="I118" s="388"/>
      <c r="J118" s="388"/>
      <c r="K118" s="388"/>
      <c r="L118" s="388"/>
      <c r="M118" s="388"/>
      <c r="N118" s="388"/>
      <c r="O118" s="388"/>
      <c r="P118" s="388"/>
      <c r="Q118" s="388"/>
      <c r="R118" s="388"/>
      <c r="S118" s="388"/>
      <c r="T118" s="388"/>
      <c r="U118" s="388"/>
      <c r="V118" s="388"/>
      <c r="AA118" s="256"/>
    </row>
    <row r="119">
      <c r="A119" s="388"/>
      <c r="B119" s="388"/>
      <c r="C119" s="388"/>
      <c r="D119" s="388"/>
      <c r="E119" s="388"/>
      <c r="F119" s="388"/>
      <c r="G119" s="388"/>
      <c r="H119" s="388"/>
      <c r="I119" s="388"/>
      <c r="J119" s="388"/>
      <c r="K119" s="388"/>
      <c r="L119" s="388"/>
      <c r="M119" s="388"/>
      <c r="N119" s="388"/>
      <c r="O119" s="388"/>
      <c r="P119" s="388"/>
      <c r="Q119" s="388"/>
      <c r="R119" s="388"/>
      <c r="S119" s="388"/>
      <c r="T119" s="388"/>
      <c r="U119" s="388"/>
      <c r="V119" s="388"/>
      <c r="AA119" s="256"/>
    </row>
    <row r="120">
      <c r="A120" s="388"/>
      <c r="B120" s="388"/>
      <c r="C120" s="388"/>
      <c r="D120" s="388"/>
      <c r="E120" s="388"/>
      <c r="F120" s="388"/>
      <c r="G120" s="388"/>
      <c r="H120" s="388"/>
      <c r="I120" s="388"/>
      <c r="J120" s="388"/>
      <c r="K120" s="388"/>
      <c r="L120" s="388"/>
      <c r="M120" s="388"/>
      <c r="N120" s="388"/>
      <c r="O120" s="388"/>
      <c r="P120" s="388"/>
      <c r="Q120" s="388"/>
      <c r="R120" s="388"/>
      <c r="S120" s="388"/>
      <c r="T120" s="388"/>
      <c r="U120" s="388"/>
      <c r="V120" s="388"/>
      <c r="AA120" s="256"/>
    </row>
    <row r="121">
      <c r="A121" s="388"/>
      <c r="B121" s="388"/>
      <c r="C121" s="388"/>
      <c r="D121" s="388"/>
      <c r="E121" s="388"/>
      <c r="F121" s="388"/>
      <c r="G121" s="388"/>
      <c r="H121" s="388"/>
      <c r="I121" s="388"/>
      <c r="J121" s="388"/>
      <c r="K121" s="388"/>
      <c r="L121" s="388"/>
      <c r="M121" s="388"/>
      <c r="N121" s="388"/>
      <c r="O121" s="388"/>
      <c r="P121" s="388"/>
      <c r="Q121" s="388"/>
      <c r="R121" s="388"/>
      <c r="S121" s="388"/>
      <c r="T121" s="388"/>
      <c r="U121" s="388"/>
      <c r="V121" s="388"/>
      <c r="AA121" s="256"/>
    </row>
    <row r="122">
      <c r="A122" s="388"/>
      <c r="B122" s="388"/>
      <c r="C122" s="388"/>
      <c r="D122" s="388"/>
      <c r="E122" s="388"/>
      <c r="F122" s="388"/>
      <c r="G122" s="388"/>
      <c r="H122" s="388"/>
      <c r="I122" s="388"/>
      <c r="J122" s="388"/>
      <c r="K122" s="388"/>
      <c r="L122" s="388"/>
      <c r="M122" s="388"/>
      <c r="N122" s="388"/>
      <c r="O122" s="388"/>
      <c r="P122" s="388"/>
      <c r="Q122" s="388"/>
      <c r="R122" s="388"/>
      <c r="S122" s="388"/>
      <c r="T122" s="388"/>
      <c r="U122" s="388"/>
      <c r="V122" s="388"/>
      <c r="AA122" s="256"/>
    </row>
    <row r="123">
      <c r="A123" s="388"/>
      <c r="B123" s="388"/>
      <c r="C123" s="388"/>
      <c r="D123" s="388"/>
      <c r="E123" s="388"/>
      <c r="F123" s="388"/>
      <c r="G123" s="388"/>
      <c r="H123" s="388"/>
      <c r="I123" s="388"/>
      <c r="J123" s="388"/>
      <c r="K123" s="388"/>
      <c r="L123" s="388"/>
      <c r="M123" s="388"/>
      <c r="N123" s="388"/>
      <c r="O123" s="388"/>
      <c r="P123" s="388"/>
      <c r="Q123" s="388"/>
      <c r="R123" s="388"/>
      <c r="S123" s="388"/>
      <c r="T123" s="388"/>
      <c r="U123" s="388"/>
      <c r="V123" s="388"/>
      <c r="AA123" s="256"/>
    </row>
    <row r="124">
      <c r="A124" s="388"/>
      <c r="B124" s="388"/>
      <c r="C124" s="388"/>
      <c r="D124" s="388"/>
      <c r="E124" s="388"/>
      <c r="F124" s="388"/>
      <c r="G124" s="388"/>
      <c r="H124" s="388"/>
      <c r="I124" s="388"/>
      <c r="J124" s="388"/>
      <c r="K124" s="388"/>
      <c r="L124" s="388"/>
      <c r="M124" s="388"/>
      <c r="N124" s="388"/>
      <c r="O124" s="388"/>
      <c r="P124" s="388"/>
      <c r="Q124" s="388"/>
      <c r="R124" s="388"/>
      <c r="S124" s="388"/>
      <c r="T124" s="388"/>
      <c r="U124" s="388"/>
      <c r="V124" s="388"/>
      <c r="AA124" s="256"/>
    </row>
    <row r="125">
      <c r="A125" s="388"/>
      <c r="B125" s="388"/>
      <c r="C125" s="388"/>
      <c r="D125" s="388"/>
      <c r="E125" s="388"/>
      <c r="F125" s="388"/>
      <c r="G125" s="388"/>
      <c r="H125" s="388"/>
      <c r="I125" s="388"/>
      <c r="J125" s="388"/>
      <c r="K125" s="388"/>
      <c r="L125" s="388"/>
      <c r="M125" s="388"/>
      <c r="N125" s="388"/>
      <c r="O125" s="388"/>
      <c r="P125" s="388"/>
      <c r="Q125" s="388"/>
      <c r="R125" s="388"/>
      <c r="S125" s="388"/>
      <c r="T125" s="388"/>
      <c r="U125" s="388"/>
      <c r="V125" s="388"/>
      <c r="AA125" s="256"/>
    </row>
    <row r="126">
      <c r="A126" s="388"/>
      <c r="B126" s="388"/>
      <c r="C126" s="388"/>
      <c r="D126" s="388"/>
      <c r="E126" s="388"/>
      <c r="F126" s="388"/>
      <c r="G126" s="388"/>
      <c r="H126" s="388"/>
      <c r="I126" s="388"/>
      <c r="J126" s="388"/>
      <c r="K126" s="388"/>
      <c r="L126" s="388"/>
      <c r="M126" s="388"/>
      <c r="N126" s="388"/>
      <c r="O126" s="388"/>
      <c r="P126" s="388"/>
      <c r="Q126" s="388"/>
      <c r="R126" s="388"/>
      <c r="S126" s="388"/>
      <c r="T126" s="388"/>
      <c r="U126" s="388"/>
      <c r="V126" s="388"/>
      <c r="AA126" s="256"/>
    </row>
    <row r="127">
      <c r="A127" s="388"/>
      <c r="B127" s="388"/>
      <c r="C127" s="388"/>
      <c r="D127" s="388"/>
      <c r="E127" s="388"/>
      <c r="F127" s="388"/>
      <c r="G127" s="388"/>
      <c r="H127" s="388"/>
      <c r="I127" s="388"/>
      <c r="J127" s="388"/>
      <c r="K127" s="388"/>
      <c r="L127" s="388"/>
      <c r="M127" s="388"/>
      <c r="N127" s="388"/>
      <c r="O127" s="388"/>
      <c r="P127" s="388"/>
      <c r="Q127" s="388"/>
      <c r="R127" s="388"/>
      <c r="S127" s="388"/>
      <c r="T127" s="388"/>
      <c r="U127" s="388"/>
      <c r="V127" s="388"/>
      <c r="AA127" s="256"/>
    </row>
    <row r="128">
      <c r="A128" s="388"/>
      <c r="B128" s="388"/>
      <c r="C128" s="388"/>
      <c r="D128" s="388"/>
      <c r="E128" s="388"/>
      <c r="F128" s="388"/>
      <c r="G128" s="388"/>
      <c r="H128" s="388"/>
      <c r="I128" s="388"/>
      <c r="J128" s="388"/>
      <c r="K128" s="388"/>
      <c r="L128" s="388"/>
      <c r="M128" s="388"/>
      <c r="N128" s="388"/>
      <c r="O128" s="388"/>
      <c r="P128" s="388"/>
      <c r="Q128" s="388"/>
      <c r="R128" s="388"/>
      <c r="S128" s="388"/>
      <c r="T128" s="388"/>
      <c r="U128" s="388"/>
      <c r="V128" s="388"/>
      <c r="AA128" s="256"/>
    </row>
    <row r="129">
      <c r="A129" s="388"/>
      <c r="B129" s="388"/>
      <c r="C129" s="388"/>
      <c r="D129" s="388"/>
      <c r="E129" s="388"/>
      <c r="F129" s="388"/>
      <c r="G129" s="388"/>
      <c r="H129" s="388"/>
      <c r="I129" s="388"/>
      <c r="J129" s="388"/>
      <c r="K129" s="388"/>
      <c r="L129" s="388"/>
      <c r="M129" s="388"/>
      <c r="N129" s="388"/>
      <c r="O129" s="388"/>
      <c r="P129" s="388"/>
      <c r="Q129" s="388"/>
      <c r="R129" s="388"/>
      <c r="S129" s="388"/>
      <c r="T129" s="388"/>
      <c r="U129" s="388"/>
      <c r="V129" s="388"/>
      <c r="AA129" s="256"/>
    </row>
    <row r="130">
      <c r="A130" s="388"/>
      <c r="B130" s="388"/>
      <c r="C130" s="388"/>
      <c r="D130" s="388"/>
      <c r="E130" s="388"/>
      <c r="F130" s="388"/>
      <c r="G130" s="388"/>
      <c r="H130" s="388"/>
      <c r="I130" s="388"/>
      <c r="J130" s="388"/>
      <c r="K130" s="388"/>
      <c r="L130" s="388"/>
      <c r="M130" s="388"/>
      <c r="N130" s="388"/>
      <c r="O130" s="388"/>
      <c r="P130" s="388"/>
      <c r="Q130" s="388"/>
      <c r="R130" s="388"/>
      <c r="S130" s="388"/>
      <c r="T130" s="388"/>
      <c r="U130" s="388"/>
      <c r="V130" s="388"/>
      <c r="AA130" s="256"/>
    </row>
    <row r="131">
      <c r="A131" s="388"/>
      <c r="B131" s="388"/>
      <c r="C131" s="388"/>
      <c r="D131" s="388"/>
      <c r="E131" s="388"/>
      <c r="F131" s="388"/>
      <c r="G131" s="388"/>
      <c r="H131" s="388"/>
      <c r="I131" s="388"/>
      <c r="J131" s="388"/>
      <c r="K131" s="388"/>
      <c r="L131" s="388"/>
      <c r="M131" s="388"/>
      <c r="N131" s="388"/>
      <c r="O131" s="388"/>
      <c r="P131" s="388"/>
      <c r="Q131" s="388"/>
      <c r="R131" s="388"/>
      <c r="S131" s="388"/>
      <c r="T131" s="388"/>
      <c r="U131" s="388"/>
      <c r="V131" s="388"/>
      <c r="AA131" s="256"/>
    </row>
    <row r="132">
      <c r="A132" s="388"/>
      <c r="B132" s="388"/>
      <c r="C132" s="388"/>
      <c r="D132" s="388"/>
      <c r="E132" s="388"/>
      <c r="F132" s="388"/>
      <c r="G132" s="388"/>
      <c r="H132" s="388"/>
      <c r="I132" s="388"/>
      <c r="J132" s="388"/>
      <c r="K132" s="388"/>
      <c r="L132" s="388"/>
      <c r="M132" s="388"/>
      <c r="N132" s="388"/>
      <c r="O132" s="388"/>
      <c r="P132" s="388"/>
      <c r="Q132" s="388"/>
      <c r="R132" s="388"/>
      <c r="S132" s="388"/>
      <c r="T132" s="388"/>
      <c r="U132" s="388"/>
      <c r="V132" s="388"/>
      <c r="AA132" s="256"/>
    </row>
    <row r="133">
      <c r="A133" s="388"/>
      <c r="B133" s="388"/>
      <c r="C133" s="388"/>
      <c r="D133" s="388"/>
      <c r="E133" s="388"/>
      <c r="F133" s="388"/>
      <c r="G133" s="388"/>
      <c r="H133" s="388"/>
      <c r="I133" s="388"/>
      <c r="J133" s="388"/>
      <c r="K133" s="388"/>
      <c r="L133" s="388"/>
      <c r="M133" s="388"/>
      <c r="N133" s="388"/>
      <c r="O133" s="388"/>
      <c r="P133" s="388"/>
      <c r="Q133" s="388"/>
      <c r="R133" s="388"/>
      <c r="S133" s="388"/>
      <c r="T133" s="388"/>
      <c r="U133" s="388"/>
      <c r="V133" s="388"/>
      <c r="AA133" s="256"/>
    </row>
    <row r="134">
      <c r="A134" s="388"/>
      <c r="B134" s="388"/>
      <c r="C134" s="388"/>
      <c r="D134" s="388"/>
      <c r="E134" s="388"/>
      <c r="F134" s="388"/>
      <c r="G134" s="388"/>
      <c r="H134" s="388"/>
      <c r="I134" s="388"/>
      <c r="J134" s="388"/>
      <c r="K134" s="388"/>
      <c r="L134" s="388"/>
      <c r="M134" s="388"/>
      <c r="N134" s="388"/>
      <c r="O134" s="388"/>
      <c r="P134" s="388"/>
      <c r="Q134" s="388"/>
      <c r="R134" s="388"/>
      <c r="S134" s="388"/>
      <c r="T134" s="388"/>
      <c r="U134" s="388"/>
      <c r="V134" s="388"/>
      <c r="AA134" s="256"/>
    </row>
    <row r="135">
      <c r="A135" s="388"/>
      <c r="B135" s="388"/>
      <c r="C135" s="388"/>
      <c r="D135" s="388"/>
      <c r="E135" s="388"/>
      <c r="F135" s="388"/>
      <c r="G135" s="388"/>
      <c r="H135" s="388"/>
      <c r="I135" s="388"/>
      <c r="J135" s="388"/>
      <c r="K135" s="388"/>
      <c r="L135" s="388"/>
      <c r="M135" s="388"/>
      <c r="N135" s="388"/>
      <c r="O135" s="388"/>
      <c r="P135" s="388"/>
      <c r="Q135" s="388"/>
      <c r="R135" s="388"/>
      <c r="S135" s="388"/>
      <c r="T135" s="388"/>
      <c r="U135" s="388"/>
      <c r="V135" s="388"/>
      <c r="AA135" s="256"/>
    </row>
    <row r="136">
      <c r="A136" s="388"/>
      <c r="B136" s="388"/>
      <c r="C136" s="388"/>
      <c r="D136" s="388"/>
      <c r="E136" s="388"/>
      <c r="F136" s="388"/>
      <c r="G136" s="388"/>
      <c r="H136" s="388"/>
      <c r="I136" s="388"/>
      <c r="J136" s="388"/>
      <c r="K136" s="388"/>
      <c r="L136" s="388"/>
      <c r="M136" s="388"/>
      <c r="N136" s="388"/>
      <c r="O136" s="388"/>
      <c r="P136" s="388"/>
      <c r="Q136" s="388"/>
      <c r="R136" s="388"/>
      <c r="S136" s="388"/>
      <c r="T136" s="388"/>
      <c r="U136" s="388"/>
      <c r="V136" s="388"/>
      <c r="AA136" s="256"/>
    </row>
    <row r="137">
      <c r="A137" s="388"/>
      <c r="B137" s="388"/>
      <c r="C137" s="388"/>
      <c r="D137" s="388"/>
      <c r="E137" s="388"/>
      <c r="F137" s="388"/>
      <c r="G137" s="388"/>
      <c r="H137" s="388"/>
      <c r="I137" s="388"/>
      <c r="J137" s="388"/>
      <c r="K137" s="388"/>
      <c r="L137" s="388"/>
      <c r="M137" s="388"/>
      <c r="N137" s="388"/>
      <c r="O137" s="388"/>
      <c r="P137" s="388"/>
      <c r="Q137" s="388"/>
      <c r="R137" s="388"/>
      <c r="S137" s="388"/>
      <c r="T137" s="388"/>
      <c r="U137" s="388"/>
      <c r="V137" s="388"/>
      <c r="AA137" s="256"/>
    </row>
    <row r="138">
      <c r="A138" s="388"/>
      <c r="B138" s="388"/>
      <c r="C138" s="388"/>
      <c r="D138" s="388"/>
      <c r="E138" s="388"/>
      <c r="F138" s="388"/>
      <c r="G138" s="388"/>
      <c r="H138" s="388"/>
      <c r="I138" s="388"/>
      <c r="J138" s="388"/>
      <c r="K138" s="388"/>
      <c r="L138" s="388"/>
      <c r="M138" s="388"/>
      <c r="N138" s="388"/>
      <c r="O138" s="388"/>
      <c r="P138" s="388"/>
      <c r="Q138" s="388"/>
      <c r="R138" s="388"/>
      <c r="S138" s="388"/>
      <c r="T138" s="388"/>
      <c r="U138" s="388"/>
      <c r="V138" s="388"/>
      <c r="AA138" s="256"/>
    </row>
    <row r="139">
      <c r="A139" s="388"/>
      <c r="B139" s="388"/>
      <c r="C139" s="388"/>
      <c r="D139" s="388"/>
      <c r="E139" s="388"/>
      <c r="F139" s="388"/>
      <c r="G139" s="388"/>
      <c r="H139" s="388"/>
      <c r="I139" s="388"/>
      <c r="J139" s="388"/>
      <c r="K139" s="388"/>
      <c r="L139" s="388"/>
      <c r="M139" s="388"/>
      <c r="N139" s="388"/>
      <c r="O139" s="388"/>
      <c r="P139" s="388"/>
      <c r="Q139" s="388"/>
      <c r="R139" s="388"/>
      <c r="S139" s="388"/>
      <c r="T139" s="388"/>
      <c r="U139" s="388"/>
      <c r="V139" s="388"/>
      <c r="AA139" s="256"/>
    </row>
    <row r="140">
      <c r="A140" s="388"/>
      <c r="B140" s="388"/>
      <c r="C140" s="388"/>
      <c r="D140" s="388"/>
      <c r="E140" s="388"/>
      <c r="F140" s="388"/>
      <c r="G140" s="388"/>
      <c r="H140" s="388"/>
      <c r="I140" s="388"/>
      <c r="J140" s="388"/>
      <c r="K140" s="388"/>
      <c r="L140" s="388"/>
      <c r="M140" s="388"/>
      <c r="N140" s="388"/>
      <c r="O140" s="388"/>
      <c r="P140" s="388"/>
      <c r="Q140" s="388"/>
      <c r="R140" s="388"/>
      <c r="S140" s="388"/>
      <c r="T140" s="388"/>
      <c r="U140" s="388"/>
      <c r="V140" s="388"/>
      <c r="AA140" s="256"/>
    </row>
    <row r="141">
      <c r="A141" s="388"/>
      <c r="B141" s="388"/>
      <c r="C141" s="388"/>
      <c r="D141" s="388"/>
      <c r="E141" s="388"/>
      <c r="F141" s="388"/>
      <c r="G141" s="388"/>
      <c r="H141" s="388"/>
      <c r="I141" s="388"/>
      <c r="J141" s="388"/>
      <c r="K141" s="388"/>
      <c r="L141" s="388"/>
      <c r="M141" s="388"/>
      <c r="N141" s="388"/>
      <c r="O141" s="388"/>
      <c r="P141" s="388"/>
      <c r="Q141" s="388"/>
      <c r="R141" s="388"/>
      <c r="S141" s="388"/>
      <c r="T141" s="388"/>
      <c r="U141" s="388"/>
      <c r="V141" s="388"/>
      <c r="AA141" s="256"/>
    </row>
    <row r="142">
      <c r="A142" s="388"/>
      <c r="B142" s="388"/>
      <c r="C142" s="388"/>
      <c r="D142" s="388"/>
      <c r="E142" s="388"/>
      <c r="F142" s="388"/>
      <c r="G142" s="388"/>
      <c r="H142" s="388"/>
      <c r="I142" s="388"/>
      <c r="J142" s="388"/>
      <c r="K142" s="388"/>
      <c r="L142" s="388"/>
      <c r="M142" s="388"/>
      <c r="N142" s="388"/>
      <c r="O142" s="388"/>
      <c r="P142" s="388"/>
      <c r="Q142" s="388"/>
      <c r="R142" s="388"/>
      <c r="S142" s="388"/>
      <c r="T142" s="388"/>
      <c r="U142" s="388"/>
      <c r="V142" s="388"/>
      <c r="AA142" s="256"/>
    </row>
    <row r="143">
      <c r="A143" s="388"/>
      <c r="B143" s="388"/>
      <c r="C143" s="388"/>
      <c r="D143" s="388"/>
      <c r="E143" s="388"/>
      <c r="F143" s="388"/>
      <c r="G143" s="388"/>
      <c r="H143" s="388"/>
      <c r="I143" s="388"/>
      <c r="J143" s="388"/>
      <c r="K143" s="388"/>
      <c r="L143" s="388"/>
      <c r="M143" s="388"/>
      <c r="N143" s="388"/>
      <c r="O143" s="388"/>
      <c r="P143" s="388"/>
      <c r="Q143" s="388"/>
      <c r="R143" s="388"/>
      <c r="S143" s="388"/>
      <c r="T143" s="388"/>
      <c r="U143" s="388"/>
      <c r="V143" s="388"/>
      <c r="AA143" s="256"/>
    </row>
    <row r="144">
      <c r="A144" s="388"/>
      <c r="B144" s="388"/>
      <c r="C144" s="388"/>
      <c r="D144" s="388"/>
      <c r="E144" s="388"/>
      <c r="F144" s="388"/>
      <c r="G144" s="388"/>
      <c r="H144" s="388"/>
      <c r="I144" s="388"/>
      <c r="J144" s="388"/>
      <c r="K144" s="388"/>
      <c r="L144" s="388"/>
      <c r="M144" s="388"/>
      <c r="N144" s="388"/>
      <c r="O144" s="388"/>
      <c r="P144" s="388"/>
      <c r="Q144" s="388"/>
      <c r="R144" s="388"/>
      <c r="S144" s="388"/>
      <c r="T144" s="388"/>
      <c r="U144" s="388"/>
      <c r="V144" s="388"/>
      <c r="AA144" s="256"/>
    </row>
    <row r="145">
      <c r="A145" s="388"/>
      <c r="B145" s="388"/>
      <c r="C145" s="388"/>
      <c r="D145" s="388"/>
      <c r="E145" s="388"/>
      <c r="F145" s="388"/>
      <c r="G145" s="388"/>
      <c r="H145" s="388"/>
      <c r="I145" s="388"/>
      <c r="J145" s="388"/>
      <c r="K145" s="388"/>
      <c r="L145" s="388"/>
      <c r="M145" s="388"/>
      <c r="N145" s="388"/>
      <c r="O145" s="388"/>
      <c r="P145" s="388"/>
      <c r="Q145" s="388"/>
      <c r="R145" s="388"/>
      <c r="S145" s="388"/>
      <c r="T145" s="388"/>
      <c r="U145" s="388"/>
      <c r="V145" s="388"/>
      <c r="AA145" s="256"/>
    </row>
    <row r="146">
      <c r="A146" s="388"/>
      <c r="B146" s="388"/>
      <c r="C146" s="388"/>
      <c r="D146" s="388"/>
      <c r="E146" s="388"/>
      <c r="F146" s="388"/>
      <c r="G146" s="388"/>
      <c r="H146" s="388"/>
      <c r="I146" s="388"/>
      <c r="J146" s="388"/>
      <c r="K146" s="388"/>
      <c r="L146" s="388"/>
      <c r="M146" s="388"/>
      <c r="N146" s="388"/>
      <c r="O146" s="388"/>
      <c r="P146" s="388"/>
      <c r="Q146" s="388"/>
      <c r="R146" s="388"/>
      <c r="S146" s="388"/>
      <c r="T146" s="388"/>
      <c r="U146" s="388"/>
      <c r="V146" s="388"/>
      <c r="AA146" s="256"/>
    </row>
    <row r="147">
      <c r="A147" s="388"/>
      <c r="B147" s="388"/>
      <c r="C147" s="388"/>
      <c r="D147" s="388"/>
      <c r="E147" s="388"/>
      <c r="F147" s="388"/>
      <c r="G147" s="388"/>
      <c r="H147" s="388"/>
      <c r="I147" s="388"/>
      <c r="J147" s="388"/>
      <c r="K147" s="388"/>
      <c r="L147" s="388"/>
      <c r="M147" s="388"/>
      <c r="N147" s="388"/>
      <c r="O147" s="388"/>
      <c r="P147" s="388"/>
      <c r="Q147" s="388"/>
      <c r="R147" s="388"/>
      <c r="S147" s="388"/>
      <c r="T147" s="388"/>
      <c r="U147" s="388"/>
      <c r="V147" s="388"/>
      <c r="AA147" s="256"/>
    </row>
    <row r="148">
      <c r="A148" s="388"/>
      <c r="B148" s="388"/>
      <c r="C148" s="388"/>
      <c r="D148" s="388"/>
      <c r="E148" s="388"/>
      <c r="F148" s="388"/>
      <c r="G148" s="388"/>
      <c r="H148" s="388"/>
      <c r="I148" s="388"/>
      <c r="J148" s="388"/>
      <c r="K148" s="388"/>
      <c r="L148" s="388"/>
      <c r="M148" s="388"/>
      <c r="N148" s="388"/>
      <c r="O148" s="388"/>
      <c r="P148" s="388"/>
      <c r="Q148" s="388"/>
      <c r="R148" s="388"/>
      <c r="S148" s="388"/>
      <c r="T148" s="388"/>
      <c r="U148" s="388"/>
      <c r="V148" s="388"/>
      <c r="AA148" s="256"/>
    </row>
    <row r="149">
      <c r="A149" s="388"/>
      <c r="B149" s="388"/>
      <c r="C149" s="388"/>
      <c r="D149" s="388"/>
      <c r="E149" s="388"/>
      <c r="F149" s="388"/>
      <c r="G149" s="388"/>
      <c r="H149" s="388"/>
      <c r="I149" s="388"/>
      <c r="J149" s="388"/>
      <c r="K149" s="388"/>
      <c r="L149" s="388"/>
      <c r="M149" s="388"/>
      <c r="N149" s="388"/>
      <c r="O149" s="388"/>
      <c r="P149" s="388"/>
      <c r="Q149" s="388"/>
      <c r="R149" s="388"/>
      <c r="S149" s="388"/>
      <c r="T149" s="388"/>
      <c r="U149" s="388"/>
      <c r="V149" s="388"/>
      <c r="AA149" s="256"/>
    </row>
    <row r="150">
      <c r="A150" s="388"/>
      <c r="B150" s="388"/>
      <c r="C150" s="388"/>
      <c r="D150" s="388"/>
      <c r="E150" s="388"/>
      <c r="F150" s="388"/>
      <c r="G150" s="388"/>
      <c r="H150" s="388"/>
      <c r="I150" s="388"/>
      <c r="J150" s="388"/>
      <c r="K150" s="388"/>
      <c r="L150" s="388"/>
      <c r="M150" s="388"/>
      <c r="N150" s="388"/>
      <c r="O150" s="388"/>
      <c r="P150" s="388"/>
      <c r="Q150" s="388"/>
      <c r="R150" s="388"/>
      <c r="S150" s="388"/>
      <c r="T150" s="388"/>
      <c r="U150" s="388"/>
      <c r="V150" s="388"/>
      <c r="AA150" s="256"/>
    </row>
    <row r="151">
      <c r="A151" s="388"/>
      <c r="B151" s="388"/>
      <c r="C151" s="388"/>
      <c r="D151" s="388"/>
      <c r="E151" s="388"/>
      <c r="F151" s="388"/>
      <c r="G151" s="388"/>
      <c r="H151" s="388"/>
      <c r="I151" s="388"/>
      <c r="J151" s="388"/>
      <c r="K151" s="388"/>
      <c r="L151" s="388"/>
      <c r="M151" s="388"/>
      <c r="N151" s="388"/>
      <c r="O151" s="388"/>
      <c r="P151" s="388"/>
      <c r="Q151" s="388"/>
      <c r="R151" s="388"/>
      <c r="S151" s="388"/>
      <c r="T151" s="388"/>
      <c r="U151" s="388"/>
      <c r="V151" s="388"/>
      <c r="AA151" s="256"/>
    </row>
    <row r="152">
      <c r="A152" s="388"/>
      <c r="B152" s="388"/>
      <c r="C152" s="388"/>
      <c r="D152" s="388"/>
      <c r="E152" s="388"/>
      <c r="F152" s="388"/>
      <c r="G152" s="388"/>
      <c r="H152" s="388"/>
      <c r="I152" s="388"/>
      <c r="J152" s="388"/>
      <c r="K152" s="388"/>
      <c r="L152" s="388"/>
      <c r="M152" s="388"/>
      <c r="N152" s="388"/>
      <c r="O152" s="388"/>
      <c r="P152" s="388"/>
      <c r="Q152" s="388"/>
      <c r="R152" s="388"/>
      <c r="S152" s="388"/>
      <c r="T152" s="388"/>
      <c r="U152" s="388"/>
      <c r="V152" s="388"/>
      <c r="AA152" s="256"/>
    </row>
    <row r="153">
      <c r="A153" s="388"/>
      <c r="B153" s="388"/>
      <c r="C153" s="388"/>
      <c r="D153" s="388"/>
      <c r="E153" s="388"/>
      <c r="F153" s="388"/>
      <c r="G153" s="388"/>
      <c r="H153" s="388"/>
      <c r="I153" s="388"/>
      <c r="J153" s="388"/>
      <c r="K153" s="388"/>
      <c r="L153" s="388"/>
      <c r="M153" s="388"/>
      <c r="N153" s="388"/>
      <c r="O153" s="388"/>
      <c r="P153" s="388"/>
      <c r="Q153" s="388"/>
      <c r="R153" s="388"/>
      <c r="S153" s="388"/>
      <c r="T153" s="388"/>
      <c r="U153" s="388"/>
      <c r="V153" s="388"/>
      <c r="AA153" s="256"/>
    </row>
    <row r="154">
      <c r="A154" s="388"/>
      <c r="B154" s="388"/>
      <c r="C154" s="388"/>
      <c r="D154" s="388"/>
      <c r="E154" s="388"/>
      <c r="F154" s="388"/>
      <c r="G154" s="388"/>
      <c r="H154" s="388"/>
      <c r="I154" s="388"/>
      <c r="J154" s="388"/>
      <c r="K154" s="388"/>
      <c r="L154" s="388"/>
      <c r="M154" s="388"/>
      <c r="N154" s="388"/>
      <c r="O154" s="388"/>
      <c r="P154" s="388"/>
      <c r="Q154" s="388"/>
      <c r="R154" s="388"/>
      <c r="S154" s="388"/>
      <c r="T154" s="388"/>
      <c r="U154" s="388"/>
      <c r="V154" s="388"/>
      <c r="AA154" s="256"/>
    </row>
    <row r="155">
      <c r="A155" s="388"/>
      <c r="B155" s="388"/>
      <c r="C155" s="388"/>
      <c r="D155" s="388"/>
      <c r="E155" s="388"/>
      <c r="F155" s="388"/>
      <c r="G155" s="388"/>
      <c r="H155" s="388"/>
      <c r="I155" s="388"/>
      <c r="J155" s="388"/>
      <c r="K155" s="388"/>
      <c r="L155" s="388"/>
      <c r="M155" s="388"/>
      <c r="N155" s="388"/>
      <c r="O155" s="388"/>
      <c r="P155" s="388"/>
      <c r="Q155" s="388"/>
      <c r="R155" s="388"/>
      <c r="S155" s="388"/>
      <c r="T155" s="388"/>
      <c r="U155" s="388"/>
      <c r="V155" s="388"/>
      <c r="AA155" s="256"/>
    </row>
    <row r="156">
      <c r="A156" s="388"/>
      <c r="B156" s="388"/>
      <c r="C156" s="388"/>
      <c r="D156" s="388"/>
      <c r="E156" s="388"/>
      <c r="F156" s="388"/>
      <c r="G156" s="388"/>
      <c r="H156" s="388"/>
      <c r="I156" s="388"/>
      <c r="J156" s="388"/>
      <c r="K156" s="388"/>
      <c r="L156" s="388"/>
      <c r="M156" s="388"/>
      <c r="N156" s="388"/>
      <c r="O156" s="388"/>
      <c r="P156" s="388"/>
      <c r="Q156" s="388"/>
      <c r="R156" s="388"/>
      <c r="S156" s="388"/>
      <c r="T156" s="388"/>
      <c r="U156" s="388"/>
      <c r="V156" s="388"/>
      <c r="AA156" s="256"/>
    </row>
    <row r="157">
      <c r="A157" s="388"/>
      <c r="B157" s="388"/>
      <c r="C157" s="388"/>
      <c r="D157" s="388"/>
      <c r="E157" s="388"/>
      <c r="F157" s="388"/>
      <c r="G157" s="388"/>
      <c r="H157" s="388"/>
      <c r="I157" s="388"/>
      <c r="J157" s="388"/>
      <c r="K157" s="388"/>
      <c r="L157" s="388"/>
      <c r="M157" s="388"/>
      <c r="N157" s="388"/>
      <c r="O157" s="388"/>
      <c r="P157" s="388"/>
      <c r="Q157" s="388"/>
      <c r="R157" s="388"/>
      <c r="S157" s="388"/>
      <c r="T157" s="388"/>
      <c r="U157" s="388"/>
      <c r="V157" s="388"/>
      <c r="AA157" s="256"/>
    </row>
    <row r="158">
      <c r="A158" s="388"/>
      <c r="B158" s="388"/>
      <c r="C158" s="388"/>
      <c r="D158" s="388"/>
      <c r="E158" s="388"/>
      <c r="F158" s="388"/>
      <c r="G158" s="388"/>
      <c r="H158" s="388"/>
      <c r="I158" s="388"/>
      <c r="J158" s="388"/>
      <c r="K158" s="388"/>
      <c r="L158" s="388"/>
      <c r="M158" s="388"/>
      <c r="N158" s="388"/>
      <c r="O158" s="388"/>
      <c r="P158" s="388"/>
      <c r="Q158" s="388"/>
      <c r="R158" s="388"/>
      <c r="S158" s="388"/>
      <c r="T158" s="388"/>
      <c r="U158" s="388"/>
      <c r="V158" s="388"/>
      <c r="AA158" s="256"/>
    </row>
    <row r="159">
      <c r="A159" s="388"/>
      <c r="B159" s="388"/>
      <c r="C159" s="388"/>
      <c r="D159" s="388"/>
      <c r="E159" s="388"/>
      <c r="F159" s="388"/>
      <c r="G159" s="388"/>
      <c r="H159" s="388"/>
      <c r="I159" s="388"/>
      <c r="J159" s="388"/>
      <c r="K159" s="388"/>
      <c r="L159" s="388"/>
      <c r="M159" s="388"/>
      <c r="N159" s="388"/>
      <c r="O159" s="388"/>
      <c r="P159" s="388"/>
      <c r="Q159" s="388"/>
      <c r="R159" s="388"/>
      <c r="S159" s="388"/>
      <c r="T159" s="388"/>
      <c r="U159" s="388"/>
      <c r="V159" s="388"/>
      <c r="AA159" s="256"/>
    </row>
    <row r="160">
      <c r="A160" s="388"/>
      <c r="B160" s="388"/>
      <c r="C160" s="388"/>
      <c r="D160" s="388"/>
      <c r="E160" s="388"/>
      <c r="F160" s="388"/>
      <c r="G160" s="388"/>
      <c r="H160" s="388"/>
      <c r="I160" s="388"/>
      <c r="J160" s="388"/>
      <c r="K160" s="388"/>
      <c r="L160" s="388"/>
      <c r="M160" s="388"/>
      <c r="N160" s="388"/>
      <c r="O160" s="388"/>
      <c r="P160" s="388"/>
      <c r="Q160" s="388"/>
      <c r="R160" s="388"/>
      <c r="S160" s="388"/>
      <c r="T160" s="388"/>
      <c r="U160" s="388"/>
      <c r="V160" s="388"/>
      <c r="AA160" s="256"/>
    </row>
    <row r="161">
      <c r="A161" s="388"/>
      <c r="B161" s="388"/>
      <c r="C161" s="388"/>
      <c r="D161" s="388"/>
      <c r="E161" s="388"/>
      <c r="F161" s="388"/>
      <c r="G161" s="388"/>
      <c r="H161" s="388"/>
      <c r="I161" s="388"/>
      <c r="J161" s="388"/>
      <c r="K161" s="388"/>
      <c r="L161" s="388"/>
      <c r="M161" s="388"/>
      <c r="N161" s="388"/>
      <c r="O161" s="388"/>
      <c r="P161" s="388"/>
      <c r="Q161" s="388"/>
      <c r="R161" s="388"/>
      <c r="S161" s="388"/>
      <c r="T161" s="388"/>
      <c r="U161" s="388"/>
      <c r="V161" s="388"/>
      <c r="AA161" s="256"/>
    </row>
    <row r="162">
      <c r="A162" s="388"/>
      <c r="B162" s="388"/>
      <c r="C162" s="388"/>
      <c r="D162" s="388"/>
      <c r="E162" s="388"/>
      <c r="F162" s="388"/>
      <c r="G162" s="388"/>
      <c r="H162" s="388"/>
      <c r="I162" s="388"/>
      <c r="J162" s="388"/>
      <c r="K162" s="388"/>
      <c r="L162" s="388"/>
      <c r="M162" s="388"/>
      <c r="N162" s="388"/>
      <c r="O162" s="388"/>
      <c r="P162" s="388"/>
      <c r="Q162" s="388"/>
      <c r="R162" s="388"/>
      <c r="S162" s="388"/>
      <c r="T162" s="388"/>
      <c r="U162" s="388"/>
      <c r="V162" s="388"/>
      <c r="AA162" s="256"/>
    </row>
    <row r="163">
      <c r="A163" s="388"/>
      <c r="B163" s="388"/>
      <c r="C163" s="388"/>
      <c r="D163" s="388"/>
      <c r="E163" s="388"/>
      <c r="F163" s="388"/>
      <c r="G163" s="388"/>
      <c r="H163" s="388"/>
      <c r="I163" s="388"/>
      <c r="J163" s="388"/>
      <c r="K163" s="388"/>
      <c r="L163" s="388"/>
      <c r="M163" s="388"/>
      <c r="N163" s="388"/>
      <c r="O163" s="388"/>
      <c r="P163" s="388"/>
      <c r="Q163" s="388"/>
      <c r="R163" s="388"/>
      <c r="S163" s="388"/>
      <c r="T163" s="388"/>
      <c r="U163" s="388"/>
      <c r="V163" s="388"/>
      <c r="AA163" s="256"/>
    </row>
    <row r="164">
      <c r="A164" s="388"/>
      <c r="B164" s="388"/>
      <c r="C164" s="388"/>
      <c r="D164" s="388"/>
      <c r="E164" s="388"/>
      <c r="F164" s="388"/>
      <c r="G164" s="388"/>
      <c r="H164" s="388"/>
      <c r="I164" s="388"/>
      <c r="J164" s="388"/>
      <c r="K164" s="388"/>
      <c r="L164" s="388"/>
      <c r="M164" s="388"/>
      <c r="N164" s="388"/>
      <c r="O164" s="388"/>
      <c r="P164" s="388"/>
      <c r="Q164" s="388"/>
      <c r="R164" s="388"/>
      <c r="S164" s="388"/>
      <c r="T164" s="388"/>
      <c r="U164" s="388"/>
      <c r="V164" s="388"/>
      <c r="AA164" s="256"/>
    </row>
    <row r="165">
      <c r="A165" s="388"/>
      <c r="B165" s="388"/>
      <c r="C165" s="388"/>
      <c r="D165" s="388"/>
      <c r="E165" s="388"/>
      <c r="F165" s="388"/>
      <c r="G165" s="388"/>
      <c r="H165" s="388"/>
      <c r="I165" s="388"/>
      <c r="J165" s="388"/>
      <c r="K165" s="388"/>
      <c r="L165" s="388"/>
      <c r="M165" s="388"/>
      <c r="N165" s="388"/>
      <c r="O165" s="388"/>
      <c r="P165" s="388"/>
      <c r="Q165" s="388"/>
      <c r="R165" s="388"/>
      <c r="S165" s="388"/>
      <c r="T165" s="388"/>
      <c r="U165" s="388"/>
      <c r="V165" s="388"/>
      <c r="AA165" s="256"/>
    </row>
    <row r="166">
      <c r="A166" s="388"/>
      <c r="B166" s="388"/>
      <c r="C166" s="388"/>
      <c r="D166" s="388"/>
      <c r="E166" s="388"/>
      <c r="F166" s="388"/>
      <c r="G166" s="388"/>
      <c r="H166" s="388"/>
      <c r="I166" s="388"/>
      <c r="J166" s="388"/>
      <c r="K166" s="388"/>
      <c r="L166" s="388"/>
      <c r="M166" s="388"/>
      <c r="N166" s="388"/>
      <c r="O166" s="388"/>
      <c r="P166" s="388"/>
      <c r="Q166" s="388"/>
      <c r="R166" s="388"/>
      <c r="S166" s="388"/>
      <c r="T166" s="388"/>
      <c r="U166" s="388"/>
      <c r="V166" s="388"/>
      <c r="AA166" s="256"/>
    </row>
    <row r="167">
      <c r="A167" s="388"/>
      <c r="B167" s="388"/>
      <c r="C167" s="388"/>
      <c r="D167" s="388"/>
      <c r="E167" s="388"/>
      <c r="F167" s="388"/>
      <c r="G167" s="388"/>
      <c r="H167" s="388"/>
      <c r="I167" s="388"/>
      <c r="J167" s="388"/>
      <c r="K167" s="388"/>
      <c r="L167" s="388"/>
      <c r="M167" s="388"/>
      <c r="N167" s="388"/>
      <c r="O167" s="388"/>
      <c r="P167" s="388"/>
      <c r="Q167" s="388"/>
      <c r="R167" s="388"/>
      <c r="S167" s="388"/>
      <c r="T167" s="388"/>
      <c r="U167" s="388"/>
      <c r="V167" s="388"/>
      <c r="AA167" s="256"/>
    </row>
    <row r="168">
      <c r="A168" s="388"/>
      <c r="B168" s="388"/>
      <c r="C168" s="388"/>
      <c r="D168" s="388"/>
      <c r="E168" s="388"/>
      <c r="F168" s="388"/>
      <c r="G168" s="388"/>
      <c r="H168" s="388"/>
      <c r="I168" s="388"/>
      <c r="J168" s="388"/>
      <c r="K168" s="388"/>
      <c r="L168" s="388"/>
      <c r="M168" s="388"/>
      <c r="N168" s="388"/>
      <c r="O168" s="388"/>
      <c r="P168" s="388"/>
      <c r="Q168" s="388"/>
      <c r="R168" s="388"/>
      <c r="S168" s="388"/>
      <c r="T168" s="388"/>
      <c r="U168" s="388"/>
      <c r="V168" s="388"/>
      <c r="AA168" s="256"/>
    </row>
    <row r="169">
      <c r="A169" s="388"/>
      <c r="B169" s="388"/>
      <c r="C169" s="388"/>
      <c r="D169" s="388"/>
      <c r="E169" s="388"/>
      <c r="F169" s="388"/>
      <c r="G169" s="388"/>
      <c r="H169" s="388"/>
      <c r="I169" s="388"/>
      <c r="J169" s="388"/>
      <c r="K169" s="388"/>
      <c r="L169" s="388"/>
      <c r="M169" s="388"/>
      <c r="N169" s="388"/>
      <c r="O169" s="388"/>
      <c r="P169" s="388"/>
      <c r="Q169" s="388"/>
      <c r="R169" s="388"/>
      <c r="S169" s="388"/>
      <c r="T169" s="388"/>
      <c r="U169" s="388"/>
      <c r="V169" s="388"/>
      <c r="AA169" s="256"/>
    </row>
    <row r="170">
      <c r="A170" s="388"/>
      <c r="B170" s="388"/>
      <c r="C170" s="388"/>
      <c r="D170" s="388"/>
      <c r="E170" s="388"/>
      <c r="F170" s="388"/>
      <c r="G170" s="388"/>
      <c r="H170" s="388"/>
      <c r="I170" s="388"/>
      <c r="J170" s="388"/>
      <c r="K170" s="388"/>
      <c r="L170" s="388"/>
      <c r="M170" s="388"/>
      <c r="N170" s="388"/>
      <c r="O170" s="388"/>
      <c r="P170" s="388"/>
      <c r="Q170" s="388"/>
      <c r="R170" s="388"/>
      <c r="S170" s="388"/>
      <c r="T170" s="388"/>
      <c r="U170" s="388"/>
      <c r="V170" s="388"/>
      <c r="AA170" s="256"/>
    </row>
    <row r="171">
      <c r="A171" s="388"/>
      <c r="B171" s="388"/>
      <c r="C171" s="388"/>
      <c r="D171" s="388"/>
      <c r="E171" s="388"/>
      <c r="F171" s="388"/>
      <c r="G171" s="388"/>
      <c r="H171" s="388"/>
      <c r="I171" s="388"/>
      <c r="J171" s="388"/>
      <c r="K171" s="388"/>
      <c r="L171" s="388"/>
      <c r="M171" s="388"/>
      <c r="N171" s="388"/>
      <c r="O171" s="388"/>
      <c r="P171" s="388"/>
      <c r="Q171" s="388"/>
      <c r="R171" s="388"/>
      <c r="S171" s="388"/>
      <c r="T171" s="388"/>
      <c r="U171" s="388"/>
      <c r="V171" s="388"/>
      <c r="AA171" s="256"/>
    </row>
    <row r="172">
      <c r="A172" s="388"/>
      <c r="B172" s="388"/>
      <c r="C172" s="388"/>
      <c r="D172" s="388"/>
      <c r="E172" s="388"/>
      <c r="F172" s="388"/>
      <c r="G172" s="388"/>
      <c r="H172" s="388"/>
      <c r="I172" s="388"/>
      <c r="J172" s="388"/>
      <c r="K172" s="388"/>
      <c r="L172" s="388"/>
      <c r="M172" s="388"/>
      <c r="N172" s="388"/>
      <c r="O172" s="388"/>
      <c r="P172" s="388"/>
      <c r="Q172" s="388"/>
      <c r="R172" s="388"/>
      <c r="S172" s="388"/>
      <c r="T172" s="388"/>
      <c r="U172" s="388"/>
      <c r="V172" s="388"/>
      <c r="AA172" s="256"/>
    </row>
    <row r="173">
      <c r="A173" s="388"/>
      <c r="B173" s="388"/>
      <c r="C173" s="388"/>
      <c r="D173" s="388"/>
      <c r="E173" s="388"/>
      <c r="F173" s="388"/>
      <c r="G173" s="388"/>
      <c r="H173" s="388"/>
      <c r="I173" s="388"/>
      <c r="J173" s="388"/>
      <c r="K173" s="388"/>
      <c r="L173" s="388"/>
      <c r="M173" s="388"/>
      <c r="N173" s="388"/>
      <c r="O173" s="388"/>
      <c r="P173" s="388"/>
      <c r="Q173" s="388"/>
      <c r="R173" s="388"/>
      <c r="S173" s="388"/>
      <c r="T173" s="388"/>
      <c r="U173" s="388"/>
      <c r="V173" s="388"/>
      <c r="AA173" s="256"/>
    </row>
    <row r="174">
      <c r="A174" s="388"/>
      <c r="B174" s="388"/>
      <c r="C174" s="388"/>
      <c r="D174" s="388"/>
      <c r="E174" s="388"/>
      <c r="F174" s="388"/>
      <c r="G174" s="388"/>
      <c r="H174" s="388"/>
      <c r="I174" s="388"/>
      <c r="J174" s="388"/>
      <c r="K174" s="388"/>
      <c r="L174" s="388"/>
      <c r="M174" s="388"/>
      <c r="N174" s="388"/>
      <c r="O174" s="388"/>
      <c r="P174" s="388"/>
      <c r="Q174" s="388"/>
      <c r="R174" s="388"/>
      <c r="S174" s="388"/>
      <c r="T174" s="388"/>
      <c r="U174" s="388"/>
      <c r="V174" s="388"/>
      <c r="AA174" s="256"/>
    </row>
    <row r="175">
      <c r="A175" s="388"/>
      <c r="B175" s="388"/>
      <c r="C175" s="388"/>
      <c r="D175" s="388"/>
      <c r="E175" s="388"/>
      <c r="F175" s="388"/>
      <c r="G175" s="388"/>
      <c r="H175" s="388"/>
      <c r="I175" s="388"/>
      <c r="J175" s="388"/>
      <c r="K175" s="388"/>
      <c r="L175" s="388"/>
      <c r="M175" s="388"/>
      <c r="N175" s="388"/>
      <c r="O175" s="388"/>
      <c r="P175" s="388"/>
      <c r="Q175" s="388"/>
      <c r="R175" s="388"/>
      <c r="S175" s="388"/>
      <c r="T175" s="388"/>
      <c r="U175" s="388"/>
      <c r="V175" s="388"/>
      <c r="AA175" s="256"/>
    </row>
    <row r="176">
      <c r="A176" s="388"/>
      <c r="B176" s="388"/>
      <c r="C176" s="388"/>
      <c r="D176" s="388"/>
      <c r="E176" s="388"/>
      <c r="F176" s="388"/>
      <c r="G176" s="388"/>
      <c r="H176" s="388"/>
      <c r="I176" s="388"/>
      <c r="J176" s="388"/>
      <c r="K176" s="388"/>
      <c r="L176" s="388"/>
      <c r="M176" s="388"/>
      <c r="N176" s="388"/>
      <c r="O176" s="388"/>
      <c r="P176" s="388"/>
      <c r="Q176" s="388"/>
      <c r="R176" s="388"/>
      <c r="S176" s="388"/>
      <c r="T176" s="388"/>
      <c r="U176" s="388"/>
      <c r="V176" s="388"/>
      <c r="AA176" s="256"/>
    </row>
    <row r="177">
      <c r="A177" s="388"/>
      <c r="B177" s="388"/>
      <c r="C177" s="388"/>
      <c r="D177" s="388"/>
      <c r="E177" s="388"/>
      <c r="F177" s="388"/>
      <c r="G177" s="388"/>
      <c r="H177" s="388"/>
      <c r="I177" s="388"/>
      <c r="J177" s="388"/>
      <c r="K177" s="388"/>
      <c r="L177" s="388"/>
      <c r="M177" s="388"/>
      <c r="N177" s="388"/>
      <c r="O177" s="388"/>
      <c r="P177" s="388"/>
      <c r="Q177" s="388"/>
      <c r="R177" s="388"/>
      <c r="S177" s="388"/>
      <c r="T177" s="388"/>
      <c r="U177" s="388"/>
      <c r="V177" s="388"/>
      <c r="AA177" s="256"/>
    </row>
    <row r="178">
      <c r="A178" s="388"/>
      <c r="B178" s="388"/>
      <c r="C178" s="388"/>
      <c r="D178" s="388"/>
      <c r="E178" s="388"/>
      <c r="F178" s="388"/>
      <c r="G178" s="388"/>
      <c r="H178" s="388"/>
      <c r="I178" s="388"/>
      <c r="J178" s="388"/>
      <c r="K178" s="388"/>
      <c r="L178" s="388"/>
      <c r="M178" s="388"/>
      <c r="N178" s="388"/>
      <c r="O178" s="388"/>
      <c r="P178" s="388"/>
      <c r="Q178" s="388"/>
      <c r="R178" s="388"/>
      <c r="S178" s="388"/>
      <c r="T178" s="388"/>
      <c r="U178" s="388"/>
      <c r="V178" s="388"/>
      <c r="AA178" s="256"/>
    </row>
    <row r="179">
      <c r="A179" s="388"/>
      <c r="B179" s="388"/>
      <c r="C179" s="388"/>
      <c r="D179" s="388"/>
      <c r="E179" s="388"/>
      <c r="F179" s="388"/>
      <c r="G179" s="388"/>
      <c r="H179" s="388"/>
      <c r="I179" s="388"/>
      <c r="J179" s="388"/>
      <c r="K179" s="388"/>
      <c r="L179" s="388"/>
      <c r="M179" s="388"/>
      <c r="N179" s="388"/>
      <c r="O179" s="388"/>
      <c r="P179" s="388"/>
      <c r="Q179" s="388"/>
      <c r="R179" s="388"/>
      <c r="S179" s="388"/>
      <c r="T179" s="388"/>
      <c r="U179" s="388"/>
      <c r="V179" s="388"/>
      <c r="AA179" s="256"/>
    </row>
    <row r="180">
      <c r="A180" s="388"/>
      <c r="B180" s="388"/>
      <c r="C180" s="388"/>
      <c r="D180" s="388"/>
      <c r="E180" s="388"/>
      <c r="F180" s="388"/>
      <c r="G180" s="388"/>
      <c r="H180" s="388"/>
      <c r="I180" s="388"/>
      <c r="J180" s="388"/>
      <c r="K180" s="388"/>
      <c r="L180" s="388"/>
      <c r="M180" s="388"/>
      <c r="N180" s="388"/>
      <c r="O180" s="388"/>
      <c r="P180" s="388"/>
      <c r="Q180" s="388"/>
      <c r="R180" s="388"/>
      <c r="S180" s="388"/>
      <c r="T180" s="388"/>
      <c r="U180" s="388"/>
      <c r="V180" s="388"/>
      <c r="AA180" s="256"/>
    </row>
    <row r="181">
      <c r="A181" s="388"/>
      <c r="B181" s="388"/>
      <c r="C181" s="388"/>
      <c r="D181" s="388"/>
      <c r="E181" s="388"/>
      <c r="F181" s="388"/>
      <c r="G181" s="388"/>
      <c r="H181" s="388"/>
      <c r="I181" s="388"/>
      <c r="J181" s="388"/>
      <c r="K181" s="388"/>
      <c r="L181" s="388"/>
      <c r="M181" s="388"/>
      <c r="N181" s="388"/>
      <c r="O181" s="388"/>
      <c r="P181" s="388"/>
      <c r="Q181" s="388"/>
      <c r="R181" s="388"/>
      <c r="S181" s="388"/>
      <c r="T181" s="388"/>
      <c r="U181" s="388"/>
      <c r="V181" s="388"/>
      <c r="AA181" s="256"/>
    </row>
    <row r="182">
      <c r="A182" s="388"/>
      <c r="B182" s="388"/>
      <c r="C182" s="388"/>
      <c r="D182" s="388"/>
      <c r="E182" s="388"/>
      <c r="F182" s="388"/>
      <c r="G182" s="388"/>
      <c r="H182" s="388"/>
      <c r="I182" s="388"/>
      <c r="J182" s="388"/>
      <c r="K182" s="388"/>
      <c r="L182" s="388"/>
      <c r="M182" s="388"/>
      <c r="N182" s="388"/>
      <c r="O182" s="388"/>
      <c r="P182" s="388"/>
      <c r="Q182" s="388"/>
      <c r="R182" s="388"/>
      <c r="S182" s="388"/>
      <c r="T182" s="388"/>
      <c r="U182" s="388"/>
      <c r="V182" s="388"/>
      <c r="AA182" s="256"/>
    </row>
    <row r="183">
      <c r="A183" s="388"/>
      <c r="B183" s="388"/>
      <c r="C183" s="388"/>
      <c r="D183" s="388"/>
      <c r="E183" s="388"/>
      <c r="F183" s="388"/>
      <c r="G183" s="388"/>
      <c r="H183" s="388"/>
      <c r="I183" s="388"/>
      <c r="J183" s="388"/>
      <c r="K183" s="388"/>
      <c r="L183" s="388"/>
      <c r="M183" s="388"/>
      <c r="N183" s="388"/>
      <c r="O183" s="388"/>
      <c r="P183" s="388"/>
      <c r="Q183" s="388"/>
      <c r="R183" s="388"/>
      <c r="S183" s="388"/>
      <c r="T183" s="388"/>
      <c r="U183" s="388"/>
      <c r="V183" s="388"/>
      <c r="AA183" s="256"/>
    </row>
    <row r="184">
      <c r="A184" s="388"/>
      <c r="B184" s="388"/>
      <c r="C184" s="388"/>
      <c r="D184" s="388"/>
      <c r="E184" s="388"/>
      <c r="F184" s="388"/>
      <c r="G184" s="388"/>
      <c r="H184" s="388"/>
      <c r="I184" s="388"/>
      <c r="J184" s="388"/>
      <c r="K184" s="388"/>
      <c r="L184" s="388"/>
      <c r="M184" s="388"/>
      <c r="N184" s="388"/>
      <c r="O184" s="388"/>
      <c r="P184" s="388"/>
      <c r="Q184" s="388"/>
      <c r="R184" s="388"/>
      <c r="S184" s="388"/>
      <c r="T184" s="388"/>
      <c r="U184" s="388"/>
      <c r="V184" s="388"/>
      <c r="AA184" s="256"/>
    </row>
    <row r="185">
      <c r="A185" s="388"/>
      <c r="B185" s="388"/>
      <c r="C185" s="388"/>
      <c r="D185" s="388"/>
      <c r="E185" s="388"/>
      <c r="F185" s="388"/>
      <c r="G185" s="388"/>
      <c r="H185" s="388"/>
      <c r="I185" s="388"/>
      <c r="J185" s="388"/>
      <c r="K185" s="388"/>
      <c r="L185" s="388"/>
      <c r="M185" s="388"/>
      <c r="N185" s="388"/>
      <c r="O185" s="388"/>
      <c r="P185" s="388"/>
      <c r="Q185" s="388"/>
      <c r="R185" s="388"/>
      <c r="S185" s="388"/>
      <c r="T185" s="388"/>
      <c r="U185" s="388"/>
      <c r="V185" s="388"/>
      <c r="AA185" s="256"/>
    </row>
    <row r="186">
      <c r="A186" s="388"/>
      <c r="B186" s="388"/>
      <c r="C186" s="388"/>
      <c r="D186" s="388"/>
      <c r="E186" s="388"/>
      <c r="F186" s="388"/>
      <c r="G186" s="388"/>
      <c r="H186" s="388"/>
      <c r="I186" s="388"/>
      <c r="J186" s="388"/>
      <c r="K186" s="388"/>
      <c r="L186" s="388"/>
      <c r="M186" s="388"/>
      <c r="N186" s="388"/>
      <c r="O186" s="388"/>
      <c r="P186" s="388"/>
      <c r="Q186" s="388"/>
      <c r="R186" s="388"/>
      <c r="S186" s="388"/>
      <c r="T186" s="388"/>
      <c r="U186" s="388"/>
      <c r="V186" s="388"/>
      <c r="AA186" s="256"/>
    </row>
    <row r="187">
      <c r="A187" s="388"/>
      <c r="B187" s="388"/>
      <c r="C187" s="388"/>
      <c r="D187" s="388"/>
      <c r="E187" s="388"/>
      <c r="F187" s="388"/>
      <c r="G187" s="388"/>
      <c r="H187" s="388"/>
      <c r="I187" s="388"/>
      <c r="J187" s="388"/>
      <c r="K187" s="388"/>
      <c r="L187" s="388"/>
      <c r="M187" s="388"/>
      <c r="N187" s="388"/>
      <c r="O187" s="388"/>
      <c r="P187" s="388"/>
      <c r="Q187" s="388"/>
      <c r="R187" s="388"/>
      <c r="S187" s="388"/>
      <c r="T187" s="388"/>
      <c r="U187" s="388"/>
      <c r="V187" s="388"/>
      <c r="AA187" s="256"/>
    </row>
    <row r="188">
      <c r="A188" s="388"/>
      <c r="B188" s="388"/>
      <c r="C188" s="388"/>
      <c r="D188" s="388"/>
      <c r="E188" s="388"/>
      <c r="F188" s="388"/>
      <c r="G188" s="388"/>
      <c r="H188" s="388"/>
      <c r="I188" s="388"/>
      <c r="J188" s="388"/>
      <c r="K188" s="388"/>
      <c r="L188" s="388"/>
      <c r="M188" s="388"/>
      <c r="N188" s="388"/>
      <c r="O188" s="388"/>
      <c r="P188" s="388"/>
      <c r="Q188" s="388"/>
      <c r="R188" s="388"/>
      <c r="S188" s="388"/>
      <c r="T188" s="388"/>
      <c r="U188" s="388"/>
      <c r="V188" s="388"/>
      <c r="AA188" s="256"/>
    </row>
    <row r="189">
      <c r="A189" s="388"/>
      <c r="B189" s="388"/>
      <c r="C189" s="388"/>
      <c r="D189" s="388"/>
      <c r="E189" s="388"/>
      <c r="F189" s="388"/>
      <c r="G189" s="388"/>
      <c r="H189" s="388"/>
      <c r="I189" s="388"/>
      <c r="J189" s="388"/>
      <c r="K189" s="388"/>
      <c r="L189" s="388"/>
      <c r="M189" s="388"/>
      <c r="N189" s="388"/>
      <c r="O189" s="388"/>
      <c r="P189" s="388"/>
      <c r="Q189" s="388"/>
      <c r="R189" s="388"/>
      <c r="S189" s="388"/>
      <c r="T189" s="388"/>
      <c r="U189" s="388"/>
      <c r="V189" s="388"/>
      <c r="AA189" s="256"/>
    </row>
    <row r="190">
      <c r="A190" s="388"/>
      <c r="B190" s="388"/>
      <c r="C190" s="388"/>
      <c r="D190" s="388"/>
      <c r="E190" s="388"/>
      <c r="F190" s="388"/>
      <c r="G190" s="388"/>
      <c r="H190" s="388"/>
      <c r="I190" s="388"/>
      <c r="J190" s="388"/>
      <c r="K190" s="388"/>
      <c r="L190" s="388"/>
      <c r="M190" s="388"/>
      <c r="N190" s="388"/>
      <c r="O190" s="388"/>
      <c r="P190" s="388"/>
      <c r="Q190" s="388"/>
      <c r="R190" s="388"/>
      <c r="S190" s="388"/>
      <c r="T190" s="388"/>
      <c r="U190" s="388"/>
      <c r="V190" s="388"/>
      <c r="AA190" s="256"/>
    </row>
    <row r="191">
      <c r="A191" s="388"/>
      <c r="B191" s="388"/>
      <c r="C191" s="388"/>
      <c r="D191" s="388"/>
      <c r="E191" s="388"/>
      <c r="F191" s="388"/>
      <c r="G191" s="388"/>
      <c r="H191" s="388"/>
      <c r="I191" s="388"/>
      <c r="J191" s="388"/>
      <c r="K191" s="388"/>
      <c r="L191" s="388"/>
      <c r="M191" s="388"/>
      <c r="N191" s="388"/>
      <c r="O191" s="388"/>
      <c r="P191" s="388"/>
      <c r="Q191" s="388"/>
      <c r="R191" s="388"/>
      <c r="S191" s="388"/>
      <c r="T191" s="388"/>
      <c r="U191" s="388"/>
      <c r="V191" s="388"/>
      <c r="AA191" s="256"/>
    </row>
    <row r="192">
      <c r="A192" s="388"/>
      <c r="B192" s="388"/>
      <c r="C192" s="388"/>
      <c r="D192" s="388"/>
      <c r="E192" s="388"/>
      <c r="F192" s="388"/>
      <c r="G192" s="388"/>
      <c r="H192" s="388"/>
      <c r="I192" s="388"/>
      <c r="J192" s="388"/>
      <c r="K192" s="388"/>
      <c r="L192" s="388"/>
      <c r="M192" s="388"/>
      <c r="N192" s="388"/>
      <c r="O192" s="388"/>
      <c r="P192" s="388"/>
      <c r="Q192" s="388"/>
      <c r="R192" s="388"/>
      <c r="S192" s="388"/>
      <c r="T192" s="388"/>
      <c r="U192" s="388"/>
      <c r="V192" s="388"/>
      <c r="AA192" s="256"/>
    </row>
    <row r="193">
      <c r="A193" s="388"/>
      <c r="B193" s="388"/>
      <c r="C193" s="388"/>
      <c r="D193" s="388"/>
      <c r="E193" s="388"/>
      <c r="F193" s="388"/>
      <c r="G193" s="388"/>
      <c r="H193" s="388"/>
      <c r="I193" s="388"/>
      <c r="J193" s="388"/>
      <c r="K193" s="388"/>
      <c r="L193" s="388"/>
      <c r="M193" s="388"/>
      <c r="N193" s="388"/>
      <c r="O193" s="388"/>
      <c r="P193" s="388"/>
      <c r="Q193" s="388"/>
      <c r="R193" s="388"/>
      <c r="S193" s="388"/>
      <c r="T193" s="388"/>
      <c r="U193" s="388"/>
      <c r="V193" s="388"/>
      <c r="AA193" s="256"/>
    </row>
    <row r="194">
      <c r="A194" s="388"/>
      <c r="B194" s="388"/>
      <c r="C194" s="388"/>
      <c r="D194" s="388"/>
      <c r="E194" s="388"/>
      <c r="F194" s="388"/>
      <c r="G194" s="388"/>
      <c r="H194" s="388"/>
      <c r="I194" s="388"/>
      <c r="J194" s="388"/>
      <c r="K194" s="388"/>
      <c r="L194" s="388"/>
      <c r="M194" s="388"/>
      <c r="N194" s="388"/>
      <c r="O194" s="388"/>
      <c r="P194" s="388"/>
      <c r="Q194" s="388"/>
      <c r="R194" s="388"/>
      <c r="S194" s="388"/>
      <c r="T194" s="388"/>
      <c r="U194" s="388"/>
      <c r="V194" s="388"/>
      <c r="AA194" s="256"/>
    </row>
    <row r="195">
      <c r="A195" s="388"/>
      <c r="B195" s="388"/>
      <c r="C195" s="388"/>
      <c r="D195" s="388"/>
      <c r="E195" s="388"/>
      <c r="F195" s="388"/>
      <c r="G195" s="388"/>
      <c r="H195" s="388"/>
      <c r="I195" s="388"/>
      <c r="J195" s="388"/>
      <c r="K195" s="388"/>
      <c r="L195" s="388"/>
      <c r="M195" s="388"/>
      <c r="N195" s="388"/>
      <c r="O195" s="388"/>
      <c r="P195" s="388"/>
      <c r="Q195" s="388"/>
      <c r="R195" s="388"/>
      <c r="S195" s="388"/>
      <c r="T195" s="388"/>
      <c r="U195" s="388"/>
      <c r="V195" s="388"/>
      <c r="AA195" s="256"/>
    </row>
    <row r="196">
      <c r="A196" s="388"/>
      <c r="B196" s="388"/>
      <c r="C196" s="388"/>
      <c r="D196" s="388"/>
      <c r="E196" s="388"/>
      <c r="F196" s="388"/>
      <c r="G196" s="388"/>
      <c r="H196" s="388"/>
      <c r="I196" s="388"/>
      <c r="J196" s="388"/>
      <c r="K196" s="388"/>
      <c r="L196" s="388"/>
      <c r="M196" s="388"/>
      <c r="N196" s="388"/>
      <c r="O196" s="388"/>
      <c r="P196" s="388"/>
      <c r="Q196" s="388"/>
      <c r="R196" s="388"/>
      <c r="S196" s="388"/>
      <c r="T196" s="388"/>
      <c r="U196" s="388"/>
      <c r="V196" s="388"/>
      <c r="AA196" s="256"/>
    </row>
    <row r="197">
      <c r="A197" s="388"/>
      <c r="B197" s="388"/>
      <c r="C197" s="388"/>
      <c r="D197" s="388"/>
      <c r="E197" s="388"/>
      <c r="F197" s="388"/>
      <c r="G197" s="388"/>
      <c r="H197" s="388"/>
      <c r="I197" s="388"/>
      <c r="J197" s="388"/>
      <c r="K197" s="388"/>
      <c r="L197" s="388"/>
      <c r="M197" s="388"/>
      <c r="N197" s="388"/>
      <c r="O197" s="388"/>
      <c r="P197" s="388"/>
      <c r="Q197" s="388"/>
      <c r="R197" s="388"/>
      <c r="S197" s="388"/>
      <c r="T197" s="388"/>
      <c r="U197" s="388"/>
      <c r="V197" s="388"/>
      <c r="AA197" s="256"/>
    </row>
    <row r="198">
      <c r="A198" s="388"/>
      <c r="B198" s="388"/>
      <c r="C198" s="388"/>
      <c r="D198" s="388"/>
      <c r="E198" s="388"/>
      <c r="F198" s="388"/>
      <c r="G198" s="388"/>
      <c r="H198" s="388"/>
      <c r="I198" s="388"/>
      <c r="J198" s="388"/>
      <c r="K198" s="388"/>
      <c r="L198" s="388"/>
      <c r="M198" s="388"/>
      <c r="N198" s="388"/>
      <c r="O198" s="388"/>
      <c r="P198" s="388"/>
      <c r="Q198" s="388"/>
      <c r="R198" s="388"/>
      <c r="S198" s="388"/>
      <c r="T198" s="388"/>
      <c r="U198" s="388"/>
      <c r="V198" s="388"/>
      <c r="AA198" s="256"/>
    </row>
    <row r="199">
      <c r="A199" s="388"/>
      <c r="B199" s="388"/>
      <c r="C199" s="388"/>
      <c r="D199" s="388"/>
      <c r="E199" s="388"/>
      <c r="F199" s="388"/>
      <c r="G199" s="388"/>
      <c r="H199" s="388"/>
      <c r="I199" s="388"/>
      <c r="J199" s="388"/>
      <c r="K199" s="388"/>
      <c r="L199" s="388"/>
      <c r="M199" s="388"/>
      <c r="N199" s="388"/>
      <c r="O199" s="388"/>
      <c r="P199" s="388"/>
      <c r="Q199" s="388"/>
      <c r="R199" s="388"/>
      <c r="S199" s="388"/>
      <c r="T199" s="388"/>
      <c r="U199" s="388"/>
      <c r="V199" s="388"/>
      <c r="AA199" s="256"/>
    </row>
    <row r="200">
      <c r="A200" s="388"/>
      <c r="B200" s="388"/>
      <c r="C200" s="388"/>
      <c r="D200" s="388"/>
      <c r="E200" s="388"/>
      <c r="F200" s="388"/>
      <c r="G200" s="388"/>
      <c r="H200" s="388"/>
      <c r="I200" s="388"/>
      <c r="J200" s="388"/>
      <c r="K200" s="388"/>
      <c r="L200" s="388"/>
      <c r="M200" s="388"/>
      <c r="N200" s="388"/>
      <c r="O200" s="388"/>
      <c r="P200" s="388"/>
      <c r="Q200" s="388"/>
      <c r="R200" s="388"/>
      <c r="S200" s="388"/>
      <c r="T200" s="388"/>
      <c r="U200" s="388"/>
      <c r="V200" s="388"/>
      <c r="AA200" s="256"/>
    </row>
    <row r="201">
      <c r="A201" s="388"/>
      <c r="B201" s="388"/>
      <c r="C201" s="388"/>
      <c r="D201" s="388"/>
      <c r="E201" s="388"/>
      <c r="F201" s="388"/>
      <c r="G201" s="388"/>
      <c r="H201" s="388"/>
      <c r="I201" s="388"/>
      <c r="J201" s="388"/>
      <c r="K201" s="388"/>
      <c r="L201" s="388"/>
      <c r="M201" s="388"/>
      <c r="N201" s="388"/>
      <c r="O201" s="388"/>
      <c r="P201" s="388"/>
      <c r="Q201" s="388"/>
      <c r="R201" s="388"/>
      <c r="S201" s="388"/>
      <c r="T201" s="388"/>
      <c r="U201" s="388"/>
      <c r="V201" s="388"/>
      <c r="AA201" s="256"/>
    </row>
    <row r="202">
      <c r="A202" s="388"/>
      <c r="B202" s="388"/>
      <c r="C202" s="388"/>
      <c r="D202" s="388"/>
      <c r="E202" s="388"/>
      <c r="F202" s="388"/>
      <c r="G202" s="388"/>
      <c r="H202" s="388"/>
      <c r="I202" s="388"/>
      <c r="J202" s="388"/>
      <c r="K202" s="388"/>
      <c r="L202" s="388"/>
      <c r="M202" s="388"/>
      <c r="N202" s="388"/>
      <c r="O202" s="388"/>
      <c r="P202" s="388"/>
      <c r="Q202" s="388"/>
      <c r="R202" s="388"/>
      <c r="S202" s="388"/>
      <c r="T202" s="388"/>
      <c r="U202" s="388"/>
      <c r="V202" s="388"/>
      <c r="AA202" s="256"/>
    </row>
    <row r="203">
      <c r="A203" s="388"/>
      <c r="B203" s="388"/>
      <c r="C203" s="388"/>
      <c r="D203" s="388"/>
      <c r="E203" s="388"/>
      <c r="F203" s="388"/>
      <c r="G203" s="388"/>
      <c r="H203" s="388"/>
      <c r="I203" s="388"/>
      <c r="J203" s="388"/>
      <c r="K203" s="388"/>
      <c r="L203" s="388"/>
      <c r="M203" s="388"/>
      <c r="N203" s="388"/>
      <c r="O203" s="388"/>
      <c r="P203" s="388"/>
      <c r="Q203" s="388"/>
      <c r="R203" s="388"/>
      <c r="S203" s="388"/>
      <c r="T203" s="388"/>
      <c r="U203" s="388"/>
      <c r="V203" s="388"/>
      <c r="AA203" s="256"/>
    </row>
    <row r="204">
      <c r="A204" s="388"/>
      <c r="B204" s="388"/>
      <c r="C204" s="388"/>
      <c r="D204" s="388"/>
      <c r="E204" s="388"/>
      <c r="F204" s="388"/>
      <c r="G204" s="388"/>
      <c r="H204" s="388"/>
      <c r="I204" s="388"/>
      <c r="J204" s="388"/>
      <c r="K204" s="388"/>
      <c r="L204" s="388"/>
      <c r="M204" s="388"/>
      <c r="N204" s="388"/>
      <c r="O204" s="388"/>
      <c r="P204" s="388"/>
      <c r="Q204" s="388"/>
      <c r="R204" s="388"/>
      <c r="S204" s="388"/>
      <c r="T204" s="388"/>
      <c r="U204" s="388"/>
      <c r="V204" s="388"/>
      <c r="AA204" s="256"/>
    </row>
    <row r="205">
      <c r="A205" s="388"/>
      <c r="B205" s="388"/>
      <c r="C205" s="388"/>
      <c r="D205" s="388"/>
      <c r="E205" s="388"/>
      <c r="F205" s="388"/>
      <c r="G205" s="388"/>
      <c r="H205" s="388"/>
      <c r="I205" s="388"/>
      <c r="J205" s="388"/>
      <c r="K205" s="388"/>
      <c r="L205" s="388"/>
      <c r="M205" s="388"/>
      <c r="N205" s="388"/>
      <c r="O205" s="388"/>
      <c r="P205" s="388"/>
      <c r="Q205" s="388"/>
      <c r="R205" s="388"/>
      <c r="S205" s="388"/>
      <c r="T205" s="388"/>
      <c r="U205" s="388"/>
      <c r="V205" s="388"/>
      <c r="AA205" s="256"/>
    </row>
    <row r="206">
      <c r="A206" s="388"/>
      <c r="B206" s="388"/>
      <c r="C206" s="388"/>
      <c r="D206" s="388"/>
      <c r="E206" s="388"/>
      <c r="F206" s="388"/>
      <c r="G206" s="388"/>
      <c r="H206" s="388"/>
      <c r="I206" s="388"/>
      <c r="J206" s="388"/>
      <c r="K206" s="388"/>
      <c r="L206" s="388"/>
      <c r="M206" s="388"/>
      <c r="N206" s="388"/>
      <c r="O206" s="388"/>
      <c r="P206" s="388"/>
      <c r="Q206" s="388"/>
      <c r="R206" s="388"/>
      <c r="S206" s="388"/>
      <c r="T206" s="388"/>
      <c r="U206" s="388"/>
      <c r="V206" s="388"/>
      <c r="AA206" s="256"/>
    </row>
    <row r="207">
      <c r="A207" s="388"/>
      <c r="B207" s="388"/>
      <c r="C207" s="388"/>
      <c r="D207" s="388"/>
      <c r="E207" s="388"/>
      <c r="F207" s="388"/>
      <c r="G207" s="388"/>
      <c r="H207" s="388"/>
      <c r="I207" s="388"/>
      <c r="J207" s="388"/>
      <c r="K207" s="388"/>
      <c r="L207" s="388"/>
      <c r="M207" s="388"/>
      <c r="N207" s="388"/>
      <c r="O207" s="388"/>
      <c r="P207" s="388"/>
      <c r="Q207" s="388"/>
      <c r="R207" s="388"/>
      <c r="S207" s="388"/>
      <c r="T207" s="388"/>
      <c r="U207" s="388"/>
      <c r="V207" s="388"/>
      <c r="AA207" s="256"/>
    </row>
    <row r="208">
      <c r="A208" s="388"/>
      <c r="B208" s="388"/>
      <c r="C208" s="388"/>
      <c r="D208" s="388"/>
      <c r="E208" s="388"/>
      <c r="F208" s="388"/>
      <c r="G208" s="388"/>
      <c r="H208" s="388"/>
      <c r="I208" s="388"/>
      <c r="J208" s="388"/>
      <c r="K208" s="388"/>
      <c r="L208" s="388"/>
      <c r="M208" s="388"/>
      <c r="N208" s="388"/>
      <c r="O208" s="388"/>
      <c r="P208" s="388"/>
      <c r="Q208" s="388"/>
      <c r="R208" s="388"/>
      <c r="S208" s="388"/>
      <c r="T208" s="388"/>
      <c r="U208" s="388"/>
      <c r="V208" s="388"/>
      <c r="AA208" s="256"/>
    </row>
    <row r="209">
      <c r="A209" s="388"/>
      <c r="B209" s="388"/>
      <c r="C209" s="388"/>
      <c r="D209" s="388"/>
      <c r="E209" s="388"/>
      <c r="F209" s="388"/>
      <c r="G209" s="388"/>
      <c r="H209" s="388"/>
      <c r="I209" s="388"/>
      <c r="J209" s="388"/>
      <c r="K209" s="388"/>
      <c r="L209" s="388"/>
      <c r="M209" s="388"/>
      <c r="N209" s="388"/>
      <c r="O209" s="388"/>
      <c r="P209" s="388"/>
      <c r="Q209" s="388"/>
      <c r="R209" s="388"/>
      <c r="S209" s="388"/>
      <c r="T209" s="388"/>
      <c r="U209" s="388"/>
      <c r="V209" s="388"/>
      <c r="AA209" s="256"/>
    </row>
    <row r="210">
      <c r="A210" s="388"/>
      <c r="B210" s="388"/>
      <c r="C210" s="388"/>
      <c r="D210" s="388"/>
      <c r="E210" s="388"/>
      <c r="F210" s="388"/>
      <c r="G210" s="388"/>
      <c r="H210" s="388"/>
      <c r="I210" s="388"/>
      <c r="J210" s="388"/>
      <c r="K210" s="388"/>
      <c r="L210" s="388"/>
      <c r="M210" s="388"/>
      <c r="N210" s="388"/>
      <c r="O210" s="388"/>
      <c r="P210" s="388"/>
      <c r="Q210" s="388"/>
      <c r="R210" s="388"/>
      <c r="S210" s="388"/>
      <c r="T210" s="388"/>
      <c r="U210" s="388"/>
      <c r="V210" s="388"/>
      <c r="AA210" s="256"/>
    </row>
    <row r="211">
      <c r="A211" s="388"/>
      <c r="B211" s="388"/>
      <c r="C211" s="388"/>
      <c r="D211" s="388"/>
      <c r="E211" s="388"/>
      <c r="F211" s="388"/>
      <c r="G211" s="388"/>
      <c r="H211" s="388"/>
      <c r="I211" s="388"/>
      <c r="J211" s="388"/>
      <c r="K211" s="388"/>
      <c r="L211" s="388"/>
      <c r="M211" s="388"/>
      <c r="N211" s="388"/>
      <c r="O211" s="388"/>
      <c r="P211" s="388"/>
      <c r="Q211" s="388"/>
      <c r="R211" s="388"/>
      <c r="S211" s="388"/>
      <c r="T211" s="388"/>
      <c r="U211" s="388"/>
      <c r="V211" s="388"/>
      <c r="AA211" s="256"/>
    </row>
    <row r="212">
      <c r="A212" s="388"/>
      <c r="B212" s="388"/>
      <c r="C212" s="388"/>
      <c r="D212" s="388"/>
      <c r="E212" s="388"/>
      <c r="F212" s="388"/>
      <c r="G212" s="388"/>
      <c r="H212" s="388"/>
      <c r="I212" s="388"/>
      <c r="J212" s="388"/>
      <c r="K212" s="388"/>
      <c r="L212" s="388"/>
      <c r="M212" s="388"/>
      <c r="N212" s="388"/>
      <c r="O212" s="388"/>
      <c r="P212" s="388"/>
      <c r="Q212" s="388"/>
      <c r="R212" s="388"/>
      <c r="S212" s="388"/>
      <c r="T212" s="388"/>
      <c r="U212" s="388"/>
      <c r="V212" s="388"/>
      <c r="AA212" s="256"/>
    </row>
    <row r="213">
      <c r="A213" s="388"/>
      <c r="B213" s="388"/>
      <c r="C213" s="388"/>
      <c r="D213" s="388"/>
      <c r="E213" s="388"/>
      <c r="F213" s="388"/>
      <c r="G213" s="388"/>
      <c r="H213" s="388"/>
      <c r="I213" s="388"/>
      <c r="J213" s="388"/>
      <c r="K213" s="388"/>
      <c r="L213" s="388"/>
      <c r="M213" s="388"/>
      <c r="N213" s="388"/>
      <c r="O213" s="388"/>
      <c r="P213" s="388"/>
      <c r="Q213" s="388"/>
      <c r="R213" s="388"/>
      <c r="S213" s="388"/>
      <c r="T213" s="388"/>
      <c r="U213" s="388"/>
      <c r="V213" s="388"/>
      <c r="AA213" s="256"/>
    </row>
    <row r="214">
      <c r="A214" s="388"/>
      <c r="B214" s="388"/>
      <c r="C214" s="388"/>
      <c r="D214" s="388"/>
      <c r="E214" s="388"/>
      <c r="F214" s="388"/>
      <c r="G214" s="388"/>
      <c r="H214" s="388"/>
      <c r="I214" s="388"/>
      <c r="J214" s="388"/>
      <c r="K214" s="388"/>
      <c r="L214" s="388"/>
      <c r="M214" s="388"/>
      <c r="N214" s="388"/>
      <c r="O214" s="388"/>
      <c r="P214" s="388"/>
      <c r="Q214" s="388"/>
      <c r="R214" s="388"/>
      <c r="S214" s="388"/>
      <c r="T214" s="388"/>
      <c r="U214" s="388"/>
      <c r="V214" s="388"/>
      <c r="AA214" s="256"/>
    </row>
    <row r="215">
      <c r="A215" s="388"/>
      <c r="B215" s="388"/>
      <c r="C215" s="388"/>
      <c r="D215" s="388"/>
      <c r="E215" s="388"/>
      <c r="F215" s="388"/>
      <c r="G215" s="388"/>
      <c r="H215" s="388"/>
      <c r="I215" s="388"/>
      <c r="J215" s="388"/>
      <c r="K215" s="388"/>
      <c r="L215" s="388"/>
      <c r="M215" s="388"/>
      <c r="N215" s="388"/>
      <c r="O215" s="388"/>
      <c r="P215" s="388"/>
      <c r="Q215" s="388"/>
      <c r="R215" s="388"/>
      <c r="S215" s="388"/>
      <c r="T215" s="388"/>
      <c r="U215" s="388"/>
      <c r="V215" s="388"/>
      <c r="AA215" s="256"/>
    </row>
    <row r="216">
      <c r="A216" s="388"/>
      <c r="B216" s="388"/>
      <c r="C216" s="388"/>
      <c r="D216" s="388"/>
      <c r="E216" s="388"/>
      <c r="F216" s="388"/>
      <c r="G216" s="388"/>
      <c r="H216" s="388"/>
      <c r="I216" s="388"/>
      <c r="J216" s="388"/>
      <c r="K216" s="388"/>
      <c r="L216" s="388"/>
      <c r="M216" s="388"/>
      <c r="N216" s="388"/>
      <c r="O216" s="388"/>
      <c r="P216" s="388"/>
      <c r="Q216" s="388"/>
      <c r="R216" s="388"/>
      <c r="S216" s="388"/>
      <c r="T216" s="388"/>
      <c r="U216" s="388"/>
      <c r="V216" s="388"/>
      <c r="AA216" s="256"/>
    </row>
    <row r="217">
      <c r="A217" s="388"/>
      <c r="B217" s="388"/>
      <c r="C217" s="388"/>
      <c r="D217" s="388"/>
      <c r="E217" s="388"/>
      <c r="F217" s="388"/>
      <c r="G217" s="388"/>
      <c r="H217" s="388"/>
      <c r="I217" s="388"/>
      <c r="J217" s="388"/>
      <c r="K217" s="388"/>
      <c r="L217" s="388"/>
      <c r="M217" s="388"/>
      <c r="N217" s="388"/>
      <c r="O217" s="388"/>
      <c r="P217" s="388"/>
      <c r="Q217" s="388"/>
      <c r="R217" s="388"/>
      <c r="S217" s="388"/>
      <c r="T217" s="388"/>
      <c r="U217" s="388"/>
      <c r="V217" s="388"/>
      <c r="AA217" s="256"/>
    </row>
    <row r="218">
      <c r="A218" s="388"/>
      <c r="B218" s="388"/>
      <c r="C218" s="388"/>
      <c r="D218" s="388"/>
      <c r="E218" s="388"/>
      <c r="F218" s="388"/>
      <c r="G218" s="388"/>
      <c r="H218" s="388"/>
      <c r="I218" s="388"/>
      <c r="J218" s="388"/>
      <c r="K218" s="388"/>
      <c r="L218" s="388"/>
      <c r="M218" s="388"/>
      <c r="N218" s="388"/>
      <c r="O218" s="388"/>
      <c r="P218" s="388"/>
      <c r="Q218" s="388"/>
      <c r="R218" s="388"/>
      <c r="S218" s="388"/>
      <c r="T218" s="388"/>
      <c r="U218" s="388"/>
      <c r="V218" s="388"/>
      <c r="AA218" s="256"/>
    </row>
    <row r="219">
      <c r="A219" s="388"/>
      <c r="B219" s="388"/>
      <c r="C219" s="388"/>
      <c r="D219" s="388"/>
      <c r="E219" s="388"/>
      <c r="F219" s="388"/>
      <c r="G219" s="388"/>
      <c r="H219" s="388"/>
      <c r="I219" s="388"/>
      <c r="J219" s="388"/>
      <c r="K219" s="388"/>
      <c r="L219" s="388"/>
      <c r="M219" s="388"/>
      <c r="N219" s="388"/>
      <c r="O219" s="388"/>
      <c r="P219" s="388"/>
      <c r="Q219" s="388"/>
      <c r="R219" s="388"/>
      <c r="S219" s="388"/>
      <c r="T219" s="388"/>
      <c r="U219" s="388"/>
      <c r="V219" s="388"/>
      <c r="AA219" s="256"/>
    </row>
    <row r="220">
      <c r="A220" s="388"/>
      <c r="B220" s="388"/>
      <c r="C220" s="388"/>
      <c r="D220" s="388"/>
      <c r="E220" s="388"/>
      <c r="F220" s="388"/>
      <c r="G220" s="388"/>
      <c r="H220" s="388"/>
      <c r="I220" s="388"/>
      <c r="J220" s="388"/>
      <c r="K220" s="388"/>
      <c r="L220" s="388"/>
      <c r="M220" s="388"/>
      <c r="N220" s="388"/>
      <c r="O220" s="388"/>
      <c r="P220" s="388"/>
      <c r="Q220" s="388"/>
      <c r="R220" s="388"/>
      <c r="S220" s="388"/>
      <c r="T220" s="388"/>
      <c r="U220" s="388"/>
      <c r="V220" s="388"/>
      <c r="AA220" s="256"/>
    </row>
    <row r="221">
      <c r="A221" s="388"/>
      <c r="B221" s="388"/>
      <c r="C221" s="388"/>
      <c r="D221" s="388"/>
      <c r="E221" s="388"/>
      <c r="F221" s="388"/>
      <c r="G221" s="388"/>
      <c r="H221" s="388"/>
      <c r="I221" s="388"/>
      <c r="J221" s="388"/>
      <c r="K221" s="388"/>
      <c r="L221" s="388"/>
      <c r="M221" s="388"/>
      <c r="N221" s="388"/>
      <c r="O221" s="388"/>
      <c r="P221" s="388"/>
      <c r="Q221" s="388"/>
      <c r="R221" s="388"/>
      <c r="S221" s="388"/>
      <c r="T221" s="388"/>
      <c r="U221" s="388"/>
      <c r="V221" s="388"/>
      <c r="AA221" s="256"/>
    </row>
    <row r="222">
      <c r="A222" s="388"/>
      <c r="B222" s="388"/>
      <c r="C222" s="388"/>
      <c r="D222" s="388"/>
      <c r="E222" s="388"/>
      <c r="F222" s="388"/>
      <c r="G222" s="388"/>
      <c r="H222" s="388"/>
      <c r="I222" s="388"/>
      <c r="J222" s="388"/>
      <c r="K222" s="388"/>
      <c r="L222" s="388"/>
      <c r="M222" s="388"/>
      <c r="N222" s="388"/>
      <c r="O222" s="388"/>
      <c r="P222" s="388"/>
      <c r="Q222" s="388"/>
      <c r="R222" s="388"/>
      <c r="S222" s="388"/>
      <c r="T222" s="388"/>
      <c r="U222" s="388"/>
      <c r="V222" s="388"/>
      <c r="AA222" s="256"/>
    </row>
    <row r="223">
      <c r="A223" s="388"/>
      <c r="B223" s="388"/>
      <c r="C223" s="388"/>
      <c r="D223" s="388"/>
      <c r="E223" s="388"/>
      <c r="F223" s="388"/>
      <c r="G223" s="388"/>
      <c r="H223" s="388"/>
      <c r="I223" s="388"/>
      <c r="J223" s="388"/>
      <c r="K223" s="388"/>
      <c r="L223" s="388"/>
      <c r="M223" s="388"/>
      <c r="N223" s="388"/>
      <c r="O223" s="388"/>
      <c r="P223" s="388"/>
      <c r="Q223" s="388"/>
      <c r="R223" s="388"/>
      <c r="S223" s="388"/>
      <c r="T223" s="388"/>
      <c r="U223" s="388"/>
      <c r="V223" s="388"/>
      <c r="AA223" s="256"/>
    </row>
    <row r="224">
      <c r="A224" s="388"/>
      <c r="B224" s="388"/>
      <c r="C224" s="388"/>
      <c r="D224" s="388"/>
      <c r="E224" s="388"/>
      <c r="F224" s="388"/>
      <c r="G224" s="388"/>
      <c r="H224" s="388"/>
      <c r="I224" s="388"/>
      <c r="J224" s="388"/>
      <c r="K224" s="388"/>
      <c r="L224" s="388"/>
      <c r="M224" s="388"/>
      <c r="N224" s="388"/>
      <c r="O224" s="388"/>
      <c r="P224" s="388"/>
      <c r="Q224" s="388"/>
      <c r="R224" s="388"/>
      <c r="S224" s="388"/>
      <c r="T224" s="388"/>
      <c r="U224" s="388"/>
      <c r="V224" s="388"/>
      <c r="AA224" s="256"/>
    </row>
    <row r="225">
      <c r="A225" s="388"/>
      <c r="B225" s="388"/>
      <c r="C225" s="388"/>
      <c r="D225" s="388"/>
      <c r="E225" s="388"/>
      <c r="F225" s="388"/>
      <c r="G225" s="388"/>
      <c r="H225" s="388"/>
      <c r="I225" s="388"/>
      <c r="J225" s="388"/>
      <c r="K225" s="388"/>
      <c r="L225" s="388"/>
      <c r="M225" s="388"/>
      <c r="N225" s="388"/>
      <c r="O225" s="388"/>
      <c r="P225" s="388"/>
      <c r="Q225" s="388"/>
      <c r="R225" s="388"/>
      <c r="S225" s="388"/>
      <c r="T225" s="388"/>
      <c r="U225" s="388"/>
      <c r="V225" s="388"/>
      <c r="AA225" s="256"/>
    </row>
    <row r="226">
      <c r="A226" s="388"/>
      <c r="B226" s="388"/>
      <c r="C226" s="388"/>
      <c r="D226" s="388"/>
      <c r="E226" s="388"/>
      <c r="F226" s="388"/>
      <c r="G226" s="388"/>
      <c r="H226" s="388"/>
      <c r="I226" s="388"/>
      <c r="J226" s="388"/>
      <c r="K226" s="388"/>
      <c r="L226" s="388"/>
      <c r="M226" s="388"/>
      <c r="N226" s="388"/>
      <c r="O226" s="388"/>
      <c r="P226" s="388"/>
      <c r="Q226" s="388"/>
      <c r="R226" s="388"/>
      <c r="S226" s="388"/>
      <c r="T226" s="388"/>
      <c r="U226" s="388"/>
      <c r="V226" s="388"/>
      <c r="AA226" s="256"/>
    </row>
    <row r="227">
      <c r="A227" s="388"/>
      <c r="B227" s="388"/>
      <c r="C227" s="388"/>
      <c r="D227" s="388"/>
      <c r="E227" s="388"/>
      <c r="F227" s="388"/>
      <c r="G227" s="388"/>
      <c r="H227" s="388"/>
      <c r="I227" s="388"/>
      <c r="J227" s="388"/>
      <c r="K227" s="388"/>
      <c r="L227" s="388"/>
      <c r="M227" s="388"/>
      <c r="N227" s="388"/>
      <c r="O227" s="388"/>
      <c r="P227" s="388"/>
      <c r="Q227" s="388"/>
      <c r="R227" s="388"/>
      <c r="S227" s="388"/>
      <c r="T227" s="388"/>
      <c r="U227" s="388"/>
      <c r="V227" s="388"/>
      <c r="AA227" s="256"/>
    </row>
    <row r="228">
      <c r="A228" s="388"/>
      <c r="B228" s="388"/>
      <c r="C228" s="388"/>
      <c r="D228" s="388"/>
      <c r="E228" s="388"/>
      <c r="F228" s="388"/>
      <c r="G228" s="388"/>
      <c r="H228" s="388"/>
      <c r="I228" s="388"/>
      <c r="J228" s="388"/>
      <c r="K228" s="388"/>
      <c r="L228" s="388"/>
      <c r="M228" s="388"/>
      <c r="N228" s="388"/>
      <c r="O228" s="388"/>
      <c r="P228" s="388"/>
      <c r="Q228" s="388"/>
      <c r="R228" s="388"/>
      <c r="S228" s="388"/>
      <c r="T228" s="388"/>
      <c r="U228" s="388"/>
      <c r="V228" s="388"/>
      <c r="AA228" s="256"/>
    </row>
    <row r="229">
      <c r="A229" s="388"/>
      <c r="B229" s="388"/>
      <c r="C229" s="388"/>
      <c r="D229" s="388"/>
      <c r="E229" s="388"/>
      <c r="F229" s="388"/>
      <c r="G229" s="388"/>
      <c r="H229" s="388"/>
      <c r="I229" s="388"/>
      <c r="J229" s="388"/>
      <c r="K229" s="388"/>
      <c r="L229" s="388"/>
      <c r="M229" s="388"/>
      <c r="N229" s="388"/>
      <c r="O229" s="388"/>
      <c r="P229" s="388"/>
      <c r="Q229" s="388"/>
      <c r="R229" s="388"/>
      <c r="S229" s="388"/>
      <c r="T229" s="388"/>
      <c r="U229" s="388"/>
      <c r="V229" s="388"/>
      <c r="AA229" s="256"/>
    </row>
    <row r="230">
      <c r="A230" s="388"/>
      <c r="B230" s="388"/>
      <c r="C230" s="388"/>
      <c r="D230" s="388"/>
      <c r="E230" s="388"/>
      <c r="F230" s="388"/>
      <c r="G230" s="388"/>
      <c r="H230" s="388"/>
      <c r="I230" s="388"/>
      <c r="J230" s="388"/>
      <c r="K230" s="388"/>
      <c r="L230" s="388"/>
      <c r="M230" s="388"/>
      <c r="N230" s="388"/>
      <c r="O230" s="388"/>
      <c r="P230" s="388"/>
      <c r="Q230" s="388"/>
      <c r="R230" s="388"/>
      <c r="S230" s="388"/>
      <c r="T230" s="388"/>
      <c r="U230" s="388"/>
      <c r="V230" s="388"/>
      <c r="AA230" s="256"/>
    </row>
    <row r="231">
      <c r="A231" s="388"/>
      <c r="B231" s="388"/>
      <c r="C231" s="388"/>
      <c r="D231" s="388"/>
      <c r="E231" s="388"/>
      <c r="F231" s="388"/>
      <c r="G231" s="388"/>
      <c r="H231" s="388"/>
      <c r="I231" s="388"/>
      <c r="J231" s="388"/>
      <c r="K231" s="388"/>
      <c r="L231" s="388"/>
      <c r="M231" s="388"/>
      <c r="N231" s="388"/>
      <c r="O231" s="388"/>
      <c r="P231" s="388"/>
      <c r="Q231" s="388"/>
      <c r="R231" s="388"/>
      <c r="S231" s="388"/>
      <c r="T231" s="388"/>
      <c r="U231" s="388"/>
      <c r="V231" s="388"/>
      <c r="AA231" s="256"/>
    </row>
    <row r="232">
      <c r="A232" s="388"/>
      <c r="B232" s="388"/>
      <c r="C232" s="388"/>
      <c r="D232" s="388"/>
      <c r="E232" s="388"/>
      <c r="F232" s="388"/>
      <c r="G232" s="388"/>
      <c r="H232" s="388"/>
      <c r="I232" s="388"/>
      <c r="J232" s="388"/>
      <c r="K232" s="388"/>
      <c r="L232" s="388"/>
      <c r="M232" s="388"/>
      <c r="N232" s="388"/>
      <c r="O232" s="388"/>
      <c r="P232" s="388"/>
      <c r="Q232" s="388"/>
      <c r="R232" s="388"/>
      <c r="S232" s="388"/>
      <c r="T232" s="388"/>
      <c r="U232" s="388"/>
      <c r="V232" s="388"/>
      <c r="AA232" s="256"/>
    </row>
    <row r="233">
      <c r="A233" s="388"/>
      <c r="B233" s="388"/>
      <c r="C233" s="388"/>
      <c r="D233" s="388"/>
      <c r="E233" s="388"/>
      <c r="F233" s="388"/>
      <c r="G233" s="388"/>
      <c r="H233" s="388"/>
      <c r="I233" s="388"/>
      <c r="J233" s="388"/>
      <c r="K233" s="388"/>
      <c r="L233" s="388"/>
      <c r="M233" s="388"/>
      <c r="N233" s="388"/>
      <c r="O233" s="388"/>
      <c r="P233" s="388"/>
      <c r="Q233" s="388"/>
      <c r="R233" s="388"/>
      <c r="S233" s="388"/>
      <c r="T233" s="388"/>
      <c r="U233" s="388"/>
      <c r="V233" s="388"/>
      <c r="AA233" s="256"/>
    </row>
    <row r="234">
      <c r="A234" s="388"/>
      <c r="B234" s="388"/>
      <c r="C234" s="388"/>
      <c r="D234" s="388"/>
      <c r="E234" s="388"/>
      <c r="F234" s="388"/>
      <c r="G234" s="388"/>
      <c r="H234" s="388"/>
      <c r="I234" s="388"/>
      <c r="J234" s="388"/>
      <c r="K234" s="388"/>
      <c r="L234" s="388"/>
      <c r="M234" s="388"/>
      <c r="N234" s="388"/>
      <c r="O234" s="388"/>
      <c r="P234" s="388"/>
      <c r="Q234" s="388"/>
      <c r="R234" s="388"/>
      <c r="S234" s="388"/>
      <c r="T234" s="388"/>
      <c r="U234" s="388"/>
      <c r="V234" s="388"/>
      <c r="AA234" s="256"/>
    </row>
    <row r="235">
      <c r="A235" s="388"/>
      <c r="B235" s="388"/>
      <c r="C235" s="388"/>
      <c r="D235" s="388"/>
      <c r="E235" s="388"/>
      <c r="F235" s="388"/>
      <c r="G235" s="388"/>
      <c r="H235" s="388"/>
      <c r="I235" s="388"/>
      <c r="J235" s="388"/>
      <c r="K235" s="388"/>
      <c r="L235" s="388"/>
      <c r="M235" s="388"/>
      <c r="N235" s="388"/>
      <c r="O235" s="388"/>
      <c r="P235" s="388"/>
      <c r="Q235" s="388"/>
      <c r="R235" s="388"/>
      <c r="S235" s="388"/>
      <c r="T235" s="388"/>
      <c r="U235" s="388"/>
      <c r="V235" s="388"/>
      <c r="AA235" s="256"/>
    </row>
    <row r="236">
      <c r="A236" s="388"/>
      <c r="B236" s="388"/>
      <c r="C236" s="388"/>
      <c r="D236" s="388"/>
      <c r="E236" s="388"/>
      <c r="F236" s="388"/>
      <c r="G236" s="388"/>
      <c r="H236" s="388"/>
      <c r="I236" s="388"/>
      <c r="J236" s="388"/>
      <c r="K236" s="388"/>
      <c r="L236" s="388"/>
      <c r="M236" s="388"/>
      <c r="N236" s="388"/>
      <c r="O236" s="388"/>
      <c r="P236" s="388"/>
      <c r="Q236" s="388"/>
      <c r="R236" s="388"/>
      <c r="S236" s="388"/>
      <c r="T236" s="388"/>
      <c r="U236" s="388"/>
      <c r="V236" s="388"/>
      <c r="AA236" s="256"/>
    </row>
    <row r="237">
      <c r="A237" s="388"/>
      <c r="B237" s="388"/>
      <c r="C237" s="388"/>
      <c r="D237" s="388"/>
      <c r="E237" s="388"/>
      <c r="F237" s="388"/>
      <c r="G237" s="388"/>
      <c r="H237" s="388"/>
      <c r="I237" s="388"/>
      <c r="J237" s="388"/>
      <c r="K237" s="388"/>
      <c r="L237" s="388"/>
      <c r="M237" s="388"/>
      <c r="N237" s="388"/>
      <c r="O237" s="388"/>
      <c r="P237" s="388"/>
      <c r="Q237" s="388"/>
      <c r="R237" s="388"/>
      <c r="S237" s="388"/>
      <c r="T237" s="388"/>
      <c r="U237" s="388"/>
      <c r="V237" s="388"/>
      <c r="AA237" s="256"/>
    </row>
    <row r="238">
      <c r="A238" s="388"/>
      <c r="B238" s="388"/>
      <c r="C238" s="388"/>
      <c r="D238" s="388"/>
      <c r="E238" s="388"/>
      <c r="F238" s="388"/>
      <c r="G238" s="388"/>
      <c r="H238" s="388"/>
      <c r="I238" s="388"/>
      <c r="J238" s="388"/>
      <c r="K238" s="388"/>
      <c r="L238" s="388"/>
      <c r="M238" s="388"/>
      <c r="N238" s="388"/>
      <c r="O238" s="388"/>
      <c r="P238" s="388"/>
      <c r="Q238" s="388"/>
      <c r="R238" s="388"/>
      <c r="S238" s="388"/>
      <c r="T238" s="388"/>
      <c r="U238" s="388"/>
      <c r="V238" s="388"/>
      <c r="AA238" s="256"/>
    </row>
    <row r="239">
      <c r="A239" s="388"/>
      <c r="B239" s="388"/>
      <c r="C239" s="388"/>
      <c r="D239" s="388"/>
      <c r="E239" s="388"/>
      <c r="F239" s="388"/>
      <c r="G239" s="388"/>
      <c r="H239" s="388"/>
      <c r="I239" s="388"/>
      <c r="J239" s="388"/>
      <c r="K239" s="388"/>
      <c r="L239" s="388"/>
      <c r="M239" s="388"/>
      <c r="N239" s="388"/>
      <c r="O239" s="388"/>
      <c r="P239" s="388"/>
      <c r="Q239" s="388"/>
      <c r="R239" s="388"/>
      <c r="S239" s="388"/>
      <c r="T239" s="388"/>
      <c r="U239" s="388"/>
      <c r="V239" s="388"/>
      <c r="AA239" s="256"/>
    </row>
    <row r="240">
      <c r="A240" s="388"/>
      <c r="B240" s="388"/>
      <c r="C240" s="388"/>
      <c r="D240" s="388"/>
      <c r="E240" s="388"/>
      <c r="F240" s="388"/>
      <c r="G240" s="388"/>
      <c r="H240" s="388"/>
      <c r="I240" s="388"/>
      <c r="J240" s="388"/>
      <c r="K240" s="388"/>
      <c r="L240" s="388"/>
      <c r="M240" s="388"/>
      <c r="N240" s="388"/>
      <c r="O240" s="388"/>
      <c r="P240" s="388"/>
      <c r="Q240" s="388"/>
      <c r="R240" s="388"/>
      <c r="S240" s="388"/>
      <c r="T240" s="388"/>
      <c r="U240" s="388"/>
      <c r="V240" s="388"/>
      <c r="AA240" s="256"/>
    </row>
    <row r="241">
      <c r="A241" s="388"/>
      <c r="B241" s="388"/>
      <c r="C241" s="388"/>
      <c r="D241" s="388"/>
      <c r="E241" s="388"/>
      <c r="F241" s="388"/>
      <c r="G241" s="388"/>
      <c r="H241" s="388"/>
      <c r="I241" s="388"/>
      <c r="J241" s="388"/>
      <c r="K241" s="388"/>
      <c r="L241" s="388"/>
      <c r="M241" s="388"/>
      <c r="N241" s="388"/>
      <c r="O241" s="388"/>
      <c r="P241" s="388"/>
      <c r="Q241" s="388"/>
      <c r="R241" s="388"/>
      <c r="S241" s="388"/>
      <c r="T241" s="388"/>
      <c r="U241" s="388"/>
      <c r="V241" s="388"/>
      <c r="AA241" s="256"/>
    </row>
    <row r="242">
      <c r="A242" s="388"/>
      <c r="B242" s="388"/>
      <c r="C242" s="388"/>
      <c r="D242" s="388"/>
      <c r="E242" s="388"/>
      <c r="F242" s="388"/>
      <c r="G242" s="388"/>
      <c r="H242" s="388"/>
      <c r="I242" s="388"/>
      <c r="J242" s="388"/>
      <c r="K242" s="388"/>
      <c r="L242" s="388"/>
      <c r="M242" s="388"/>
      <c r="N242" s="388"/>
      <c r="O242" s="388"/>
      <c r="P242" s="388"/>
      <c r="Q242" s="388"/>
      <c r="R242" s="388"/>
      <c r="S242" s="388"/>
      <c r="T242" s="388"/>
      <c r="U242" s="388"/>
      <c r="V242" s="388"/>
      <c r="AA242" s="256"/>
    </row>
    <row r="243">
      <c r="A243" s="388"/>
      <c r="B243" s="388"/>
      <c r="C243" s="388"/>
      <c r="D243" s="388"/>
      <c r="E243" s="388"/>
      <c r="F243" s="388"/>
      <c r="G243" s="388"/>
      <c r="H243" s="388"/>
      <c r="I243" s="388"/>
      <c r="J243" s="388"/>
      <c r="K243" s="388"/>
      <c r="L243" s="388"/>
      <c r="M243" s="388"/>
      <c r="N243" s="388"/>
      <c r="O243" s="388"/>
      <c r="P243" s="388"/>
      <c r="Q243" s="388"/>
      <c r="R243" s="388"/>
      <c r="S243" s="388"/>
      <c r="T243" s="388"/>
      <c r="U243" s="388"/>
      <c r="V243" s="388"/>
      <c r="AA243" s="256"/>
    </row>
    <row r="244">
      <c r="A244" s="388"/>
      <c r="B244" s="388"/>
      <c r="C244" s="388"/>
      <c r="D244" s="388"/>
      <c r="E244" s="388"/>
      <c r="F244" s="388"/>
      <c r="G244" s="388"/>
      <c r="H244" s="388"/>
      <c r="I244" s="388"/>
      <c r="J244" s="388"/>
      <c r="K244" s="388"/>
      <c r="L244" s="388"/>
      <c r="M244" s="388"/>
      <c r="N244" s="388"/>
      <c r="O244" s="388"/>
      <c r="P244" s="388"/>
      <c r="Q244" s="388"/>
      <c r="R244" s="388"/>
      <c r="S244" s="388"/>
      <c r="T244" s="388"/>
      <c r="U244" s="388"/>
      <c r="V244" s="388"/>
      <c r="AA244" s="256"/>
    </row>
    <row r="245">
      <c r="A245" s="388"/>
      <c r="B245" s="388"/>
      <c r="C245" s="388"/>
      <c r="D245" s="388"/>
      <c r="E245" s="388"/>
      <c r="F245" s="388"/>
      <c r="G245" s="388"/>
      <c r="H245" s="388"/>
      <c r="I245" s="388"/>
      <c r="J245" s="388"/>
      <c r="K245" s="388"/>
      <c r="L245" s="388"/>
      <c r="M245" s="388"/>
      <c r="N245" s="388"/>
      <c r="O245" s="388"/>
      <c r="P245" s="388"/>
      <c r="Q245" s="388"/>
      <c r="R245" s="388"/>
      <c r="S245" s="388"/>
      <c r="T245" s="388"/>
      <c r="U245" s="388"/>
      <c r="V245" s="388"/>
      <c r="AA245" s="256"/>
    </row>
    <row r="246">
      <c r="A246" s="388"/>
      <c r="B246" s="388"/>
      <c r="C246" s="388"/>
      <c r="D246" s="388"/>
      <c r="E246" s="388"/>
      <c r="F246" s="388"/>
      <c r="G246" s="388"/>
      <c r="H246" s="388"/>
      <c r="I246" s="388"/>
      <c r="J246" s="388"/>
      <c r="K246" s="388"/>
      <c r="L246" s="388"/>
      <c r="M246" s="388"/>
      <c r="N246" s="388"/>
      <c r="O246" s="388"/>
      <c r="P246" s="388"/>
      <c r="Q246" s="388"/>
      <c r="R246" s="388"/>
      <c r="S246" s="388"/>
      <c r="T246" s="388"/>
      <c r="U246" s="388"/>
      <c r="V246" s="388"/>
      <c r="AA246" s="256"/>
    </row>
    <row r="247">
      <c r="A247" s="388"/>
      <c r="B247" s="388"/>
      <c r="C247" s="388"/>
      <c r="D247" s="388"/>
      <c r="E247" s="388"/>
      <c r="F247" s="388"/>
      <c r="G247" s="388"/>
      <c r="H247" s="388"/>
      <c r="I247" s="388"/>
      <c r="J247" s="388"/>
      <c r="K247" s="388"/>
      <c r="L247" s="388"/>
      <c r="M247" s="388"/>
      <c r="N247" s="388"/>
      <c r="O247" s="388"/>
      <c r="P247" s="388"/>
      <c r="Q247" s="388"/>
      <c r="R247" s="388"/>
      <c r="S247" s="388"/>
      <c r="T247" s="388"/>
      <c r="U247" s="388"/>
      <c r="V247" s="388"/>
      <c r="AA247" s="256"/>
    </row>
    <row r="248">
      <c r="A248" s="388"/>
      <c r="B248" s="388"/>
      <c r="C248" s="388"/>
      <c r="D248" s="388"/>
      <c r="E248" s="388"/>
      <c r="F248" s="388"/>
      <c r="G248" s="388"/>
      <c r="H248" s="388"/>
      <c r="I248" s="388"/>
      <c r="J248" s="388"/>
      <c r="K248" s="388"/>
      <c r="L248" s="388"/>
      <c r="M248" s="388"/>
      <c r="N248" s="388"/>
      <c r="O248" s="388"/>
      <c r="P248" s="388"/>
      <c r="Q248" s="388"/>
      <c r="R248" s="388"/>
      <c r="S248" s="388"/>
      <c r="T248" s="388"/>
      <c r="U248" s="388"/>
      <c r="V248" s="388"/>
      <c r="AA248" s="256"/>
    </row>
    <row r="249">
      <c r="A249" s="388"/>
      <c r="B249" s="388"/>
      <c r="C249" s="388"/>
      <c r="D249" s="388"/>
      <c r="E249" s="388"/>
      <c r="F249" s="388"/>
      <c r="G249" s="388"/>
      <c r="H249" s="388"/>
      <c r="I249" s="388"/>
      <c r="J249" s="388"/>
      <c r="K249" s="388"/>
      <c r="L249" s="388"/>
      <c r="M249" s="388"/>
      <c r="N249" s="388"/>
      <c r="O249" s="388"/>
      <c r="P249" s="388"/>
      <c r="Q249" s="388"/>
      <c r="R249" s="388"/>
      <c r="S249" s="388"/>
      <c r="T249" s="388"/>
      <c r="U249" s="388"/>
      <c r="V249" s="388"/>
      <c r="AA249" s="256"/>
    </row>
    <row r="250">
      <c r="A250" s="388"/>
      <c r="B250" s="388"/>
      <c r="C250" s="388"/>
      <c r="D250" s="388"/>
      <c r="E250" s="388"/>
      <c r="F250" s="388"/>
      <c r="G250" s="388"/>
      <c r="H250" s="388"/>
      <c r="I250" s="388"/>
      <c r="J250" s="388"/>
      <c r="K250" s="388"/>
      <c r="L250" s="388"/>
      <c r="M250" s="388"/>
      <c r="N250" s="388"/>
      <c r="O250" s="388"/>
      <c r="P250" s="388"/>
      <c r="Q250" s="388"/>
      <c r="R250" s="388"/>
      <c r="S250" s="388"/>
      <c r="T250" s="388"/>
      <c r="U250" s="388"/>
      <c r="V250" s="388"/>
      <c r="AA250" s="256"/>
    </row>
    <row r="251">
      <c r="A251" s="388"/>
      <c r="B251" s="388"/>
      <c r="C251" s="388"/>
      <c r="D251" s="388"/>
      <c r="E251" s="388"/>
      <c r="F251" s="388"/>
      <c r="G251" s="388"/>
      <c r="H251" s="388"/>
      <c r="I251" s="388"/>
      <c r="J251" s="388"/>
      <c r="K251" s="388"/>
      <c r="L251" s="388"/>
      <c r="M251" s="388"/>
      <c r="N251" s="388"/>
      <c r="O251" s="388"/>
      <c r="P251" s="388"/>
      <c r="Q251" s="388"/>
      <c r="R251" s="388"/>
      <c r="S251" s="388"/>
      <c r="T251" s="388"/>
      <c r="U251" s="388"/>
      <c r="V251" s="388"/>
      <c r="AA251" s="256"/>
    </row>
    <row r="252">
      <c r="A252" s="388"/>
      <c r="B252" s="388"/>
      <c r="C252" s="388"/>
      <c r="D252" s="388"/>
      <c r="E252" s="388"/>
      <c r="F252" s="388"/>
      <c r="G252" s="388"/>
      <c r="H252" s="388"/>
      <c r="I252" s="388"/>
      <c r="J252" s="388"/>
      <c r="K252" s="388"/>
      <c r="L252" s="388"/>
      <c r="M252" s="388"/>
      <c r="N252" s="388"/>
      <c r="O252" s="388"/>
      <c r="P252" s="388"/>
      <c r="Q252" s="388"/>
      <c r="R252" s="388"/>
      <c r="S252" s="388"/>
      <c r="T252" s="388"/>
      <c r="U252" s="388"/>
      <c r="V252" s="388"/>
      <c r="AA252" s="256"/>
    </row>
    <row r="253">
      <c r="A253" s="388"/>
      <c r="B253" s="388"/>
      <c r="C253" s="388"/>
      <c r="D253" s="388"/>
      <c r="E253" s="388"/>
      <c r="F253" s="388"/>
      <c r="G253" s="388"/>
      <c r="H253" s="388"/>
      <c r="I253" s="388"/>
      <c r="J253" s="388"/>
      <c r="K253" s="388"/>
      <c r="L253" s="388"/>
      <c r="M253" s="388"/>
      <c r="N253" s="388"/>
      <c r="O253" s="388"/>
      <c r="P253" s="388"/>
      <c r="Q253" s="388"/>
      <c r="R253" s="388"/>
      <c r="S253" s="388"/>
      <c r="T253" s="388"/>
      <c r="U253" s="388"/>
      <c r="V253" s="388"/>
      <c r="AA253" s="256"/>
    </row>
    <row r="254">
      <c r="A254" s="388"/>
      <c r="B254" s="388"/>
      <c r="C254" s="388"/>
      <c r="D254" s="388"/>
      <c r="E254" s="388"/>
      <c r="F254" s="388"/>
      <c r="G254" s="388"/>
      <c r="H254" s="388"/>
      <c r="I254" s="388"/>
      <c r="J254" s="388"/>
      <c r="K254" s="388"/>
      <c r="L254" s="388"/>
      <c r="M254" s="388"/>
      <c r="N254" s="388"/>
      <c r="O254" s="388"/>
      <c r="P254" s="388"/>
      <c r="Q254" s="388"/>
      <c r="R254" s="388"/>
      <c r="S254" s="388"/>
      <c r="T254" s="388"/>
      <c r="U254" s="388"/>
      <c r="V254" s="388"/>
      <c r="AA254" s="256"/>
    </row>
    <row r="255">
      <c r="A255" s="388"/>
      <c r="B255" s="388"/>
      <c r="C255" s="388"/>
      <c r="D255" s="388"/>
      <c r="E255" s="388"/>
      <c r="F255" s="388"/>
      <c r="G255" s="388"/>
      <c r="H255" s="388"/>
      <c r="I255" s="388"/>
      <c r="J255" s="388"/>
      <c r="K255" s="388"/>
      <c r="L255" s="388"/>
      <c r="M255" s="388"/>
      <c r="N255" s="388"/>
      <c r="O255" s="388"/>
      <c r="P255" s="388"/>
      <c r="Q255" s="388"/>
      <c r="R255" s="388"/>
      <c r="S255" s="388"/>
      <c r="T255" s="388"/>
      <c r="U255" s="388"/>
      <c r="V255" s="388"/>
      <c r="AA255" s="256"/>
    </row>
    <row r="256">
      <c r="A256" s="388"/>
      <c r="B256" s="388"/>
      <c r="C256" s="388"/>
      <c r="D256" s="388"/>
      <c r="E256" s="388"/>
      <c r="F256" s="388"/>
      <c r="G256" s="388"/>
      <c r="H256" s="388"/>
      <c r="I256" s="388"/>
      <c r="J256" s="388"/>
      <c r="K256" s="388"/>
      <c r="L256" s="388"/>
      <c r="M256" s="388"/>
      <c r="N256" s="388"/>
      <c r="O256" s="388"/>
      <c r="P256" s="388"/>
      <c r="Q256" s="388"/>
      <c r="R256" s="388"/>
      <c r="S256" s="388"/>
      <c r="T256" s="388"/>
      <c r="U256" s="388"/>
      <c r="V256" s="388"/>
      <c r="AA256" s="256"/>
    </row>
    <row r="257">
      <c r="A257" s="388"/>
      <c r="B257" s="388"/>
      <c r="C257" s="388"/>
      <c r="D257" s="388"/>
      <c r="E257" s="388"/>
      <c r="F257" s="388"/>
      <c r="G257" s="388"/>
      <c r="H257" s="388"/>
      <c r="I257" s="388"/>
      <c r="J257" s="388"/>
      <c r="K257" s="388"/>
      <c r="L257" s="388"/>
      <c r="M257" s="388"/>
      <c r="N257" s="388"/>
      <c r="O257" s="388"/>
      <c r="P257" s="388"/>
      <c r="Q257" s="388"/>
      <c r="R257" s="388"/>
      <c r="S257" s="388"/>
      <c r="T257" s="388"/>
      <c r="U257" s="388"/>
      <c r="V257" s="388"/>
      <c r="AA257" s="256"/>
    </row>
    <row r="258">
      <c r="A258" s="388"/>
      <c r="B258" s="388"/>
      <c r="C258" s="388"/>
      <c r="D258" s="388"/>
      <c r="E258" s="388"/>
      <c r="F258" s="388"/>
      <c r="G258" s="388"/>
      <c r="H258" s="388"/>
      <c r="I258" s="388"/>
      <c r="J258" s="388"/>
      <c r="K258" s="388"/>
      <c r="L258" s="388"/>
      <c r="M258" s="388"/>
      <c r="N258" s="388"/>
      <c r="O258" s="388"/>
      <c r="P258" s="388"/>
      <c r="Q258" s="388"/>
      <c r="R258" s="388"/>
      <c r="S258" s="388"/>
      <c r="T258" s="388"/>
      <c r="U258" s="388"/>
      <c r="V258" s="388"/>
      <c r="AA258" s="256"/>
    </row>
    <row r="259">
      <c r="A259" s="388"/>
      <c r="B259" s="388"/>
      <c r="C259" s="388"/>
      <c r="D259" s="388"/>
      <c r="E259" s="388"/>
      <c r="F259" s="388"/>
      <c r="G259" s="388"/>
      <c r="H259" s="388"/>
      <c r="I259" s="388"/>
      <c r="J259" s="388"/>
      <c r="K259" s="388"/>
      <c r="L259" s="388"/>
      <c r="M259" s="388"/>
      <c r="N259" s="388"/>
      <c r="O259" s="388"/>
      <c r="P259" s="388"/>
      <c r="Q259" s="388"/>
      <c r="R259" s="388"/>
      <c r="S259" s="388"/>
      <c r="T259" s="388"/>
      <c r="U259" s="388"/>
      <c r="V259" s="388"/>
      <c r="AA259" s="256"/>
    </row>
    <row r="260">
      <c r="A260" s="388"/>
      <c r="B260" s="388"/>
      <c r="C260" s="388"/>
      <c r="D260" s="388"/>
      <c r="E260" s="388"/>
      <c r="F260" s="388"/>
      <c r="G260" s="388"/>
      <c r="H260" s="388"/>
      <c r="I260" s="388"/>
      <c r="J260" s="388"/>
      <c r="K260" s="388"/>
      <c r="L260" s="388"/>
      <c r="M260" s="388"/>
      <c r="N260" s="388"/>
      <c r="O260" s="388"/>
      <c r="P260" s="388"/>
      <c r="Q260" s="388"/>
      <c r="R260" s="388"/>
      <c r="S260" s="388"/>
      <c r="T260" s="388"/>
      <c r="U260" s="388"/>
      <c r="V260" s="388"/>
      <c r="AA260" s="256"/>
    </row>
    <row r="261">
      <c r="A261" s="388"/>
      <c r="B261" s="388"/>
      <c r="C261" s="388"/>
      <c r="D261" s="388"/>
      <c r="E261" s="388"/>
      <c r="F261" s="388"/>
      <c r="G261" s="388"/>
      <c r="H261" s="388"/>
      <c r="I261" s="388"/>
      <c r="J261" s="388"/>
      <c r="K261" s="388"/>
      <c r="L261" s="388"/>
      <c r="M261" s="388"/>
      <c r="N261" s="388"/>
      <c r="O261" s="388"/>
      <c r="P261" s="388"/>
      <c r="Q261" s="388"/>
      <c r="R261" s="388"/>
      <c r="S261" s="388"/>
      <c r="T261" s="388"/>
      <c r="U261" s="388"/>
      <c r="V261" s="388"/>
      <c r="AA261" s="256"/>
    </row>
    <row r="262">
      <c r="A262" s="388"/>
      <c r="B262" s="388"/>
      <c r="C262" s="388"/>
      <c r="D262" s="388"/>
      <c r="E262" s="388"/>
      <c r="F262" s="388"/>
      <c r="G262" s="388"/>
      <c r="H262" s="388"/>
      <c r="I262" s="388"/>
      <c r="J262" s="388"/>
      <c r="K262" s="388"/>
      <c r="L262" s="388"/>
      <c r="M262" s="388"/>
      <c r="N262" s="388"/>
      <c r="O262" s="388"/>
      <c r="P262" s="388"/>
      <c r="Q262" s="388"/>
      <c r="R262" s="388"/>
      <c r="S262" s="388"/>
      <c r="T262" s="388"/>
      <c r="U262" s="388"/>
      <c r="V262" s="388"/>
      <c r="AA262" s="256"/>
    </row>
    <row r="263">
      <c r="A263" s="388"/>
      <c r="B263" s="388"/>
      <c r="C263" s="388"/>
      <c r="D263" s="388"/>
      <c r="E263" s="388"/>
      <c r="F263" s="388"/>
      <c r="G263" s="388"/>
      <c r="H263" s="388"/>
      <c r="I263" s="388"/>
      <c r="J263" s="388"/>
      <c r="K263" s="388"/>
      <c r="L263" s="388"/>
      <c r="M263" s="388"/>
      <c r="N263" s="388"/>
      <c r="O263" s="388"/>
      <c r="P263" s="388"/>
      <c r="Q263" s="388"/>
      <c r="R263" s="388"/>
      <c r="S263" s="388"/>
      <c r="T263" s="388"/>
      <c r="U263" s="388"/>
      <c r="V263" s="388"/>
      <c r="AA263" s="256"/>
    </row>
    <row r="264">
      <c r="A264" s="388"/>
      <c r="B264" s="388"/>
      <c r="C264" s="388"/>
      <c r="D264" s="388"/>
      <c r="E264" s="388"/>
      <c r="F264" s="388"/>
      <c r="G264" s="388"/>
      <c r="H264" s="388"/>
      <c r="I264" s="388"/>
      <c r="J264" s="388"/>
      <c r="K264" s="388"/>
      <c r="L264" s="388"/>
      <c r="M264" s="388"/>
      <c r="N264" s="388"/>
      <c r="O264" s="388"/>
      <c r="P264" s="388"/>
      <c r="Q264" s="388"/>
      <c r="R264" s="388"/>
      <c r="S264" s="388"/>
      <c r="T264" s="388"/>
      <c r="U264" s="388"/>
      <c r="V264" s="388"/>
      <c r="AA264" s="256"/>
    </row>
    <row r="265">
      <c r="A265" s="388"/>
      <c r="B265" s="388"/>
      <c r="C265" s="388"/>
      <c r="D265" s="388"/>
      <c r="E265" s="388"/>
      <c r="F265" s="388"/>
      <c r="G265" s="388"/>
      <c r="H265" s="388"/>
      <c r="I265" s="388"/>
      <c r="J265" s="388"/>
      <c r="K265" s="388"/>
      <c r="L265" s="388"/>
      <c r="M265" s="388"/>
      <c r="N265" s="388"/>
      <c r="O265" s="388"/>
      <c r="P265" s="388"/>
      <c r="Q265" s="388"/>
      <c r="R265" s="388"/>
      <c r="S265" s="388"/>
      <c r="T265" s="388"/>
      <c r="U265" s="388"/>
      <c r="V265" s="388"/>
      <c r="AA265" s="256"/>
    </row>
    <row r="266">
      <c r="A266" s="388"/>
      <c r="B266" s="388"/>
      <c r="C266" s="388"/>
      <c r="D266" s="388"/>
      <c r="E266" s="388"/>
      <c r="F266" s="388"/>
      <c r="G266" s="388"/>
      <c r="H266" s="388"/>
      <c r="I266" s="388"/>
      <c r="J266" s="388"/>
      <c r="K266" s="388"/>
      <c r="L266" s="388"/>
      <c r="M266" s="388"/>
      <c r="N266" s="388"/>
      <c r="O266" s="388"/>
      <c r="P266" s="388"/>
      <c r="Q266" s="388"/>
      <c r="R266" s="388"/>
      <c r="S266" s="388"/>
      <c r="T266" s="388"/>
      <c r="U266" s="388"/>
      <c r="V266" s="388"/>
      <c r="AA266" s="256"/>
    </row>
    <row r="267">
      <c r="A267" s="388"/>
      <c r="B267" s="388"/>
      <c r="C267" s="388"/>
      <c r="D267" s="388"/>
      <c r="E267" s="388"/>
      <c r="F267" s="388"/>
      <c r="G267" s="388"/>
      <c r="H267" s="388"/>
      <c r="I267" s="388"/>
      <c r="J267" s="388"/>
      <c r="K267" s="388"/>
      <c r="L267" s="388"/>
      <c r="M267" s="388"/>
      <c r="N267" s="388"/>
      <c r="O267" s="388"/>
      <c r="P267" s="388"/>
      <c r="Q267" s="388"/>
      <c r="R267" s="388"/>
      <c r="S267" s="388"/>
      <c r="T267" s="388"/>
      <c r="U267" s="388"/>
      <c r="V267" s="388"/>
      <c r="AA267" s="256"/>
    </row>
    <row r="268">
      <c r="A268" s="388"/>
      <c r="B268" s="388"/>
      <c r="C268" s="388"/>
      <c r="D268" s="388"/>
      <c r="E268" s="388"/>
      <c r="F268" s="388"/>
      <c r="G268" s="388"/>
      <c r="H268" s="388"/>
      <c r="I268" s="388"/>
      <c r="J268" s="388"/>
      <c r="K268" s="388"/>
      <c r="L268" s="388"/>
      <c r="M268" s="388"/>
      <c r="N268" s="388"/>
      <c r="O268" s="388"/>
      <c r="P268" s="388"/>
      <c r="Q268" s="388"/>
      <c r="R268" s="388"/>
      <c r="S268" s="388"/>
      <c r="T268" s="388"/>
      <c r="U268" s="388"/>
      <c r="V268" s="388"/>
      <c r="AA268" s="256"/>
    </row>
    <row r="269">
      <c r="A269" s="388"/>
      <c r="B269" s="388"/>
      <c r="C269" s="388"/>
      <c r="D269" s="388"/>
      <c r="E269" s="388"/>
      <c r="F269" s="388"/>
      <c r="G269" s="388"/>
      <c r="H269" s="388"/>
      <c r="I269" s="388"/>
      <c r="J269" s="388"/>
      <c r="K269" s="388"/>
      <c r="L269" s="388"/>
      <c r="M269" s="388"/>
      <c r="N269" s="388"/>
      <c r="O269" s="388"/>
      <c r="P269" s="388"/>
      <c r="Q269" s="388"/>
      <c r="R269" s="388"/>
      <c r="S269" s="388"/>
      <c r="T269" s="388"/>
      <c r="U269" s="388"/>
      <c r="V269" s="388"/>
      <c r="AA269" s="256"/>
    </row>
    <row r="270">
      <c r="A270" s="388"/>
      <c r="B270" s="388"/>
      <c r="C270" s="388"/>
      <c r="D270" s="388"/>
      <c r="E270" s="388"/>
      <c r="F270" s="388"/>
      <c r="G270" s="388"/>
      <c r="H270" s="388"/>
      <c r="I270" s="388"/>
      <c r="J270" s="388"/>
      <c r="K270" s="388"/>
      <c r="L270" s="388"/>
      <c r="M270" s="388"/>
      <c r="N270" s="388"/>
      <c r="O270" s="388"/>
      <c r="P270" s="388"/>
      <c r="Q270" s="388"/>
      <c r="R270" s="388"/>
      <c r="S270" s="388"/>
      <c r="T270" s="388"/>
      <c r="U270" s="388"/>
      <c r="V270" s="388"/>
      <c r="AA270" s="256"/>
    </row>
    <row r="271">
      <c r="A271" s="388"/>
      <c r="B271" s="388"/>
      <c r="C271" s="388"/>
      <c r="D271" s="388"/>
      <c r="E271" s="388"/>
      <c r="F271" s="388"/>
      <c r="G271" s="388"/>
      <c r="H271" s="388"/>
      <c r="I271" s="388"/>
      <c r="J271" s="388"/>
      <c r="K271" s="388"/>
      <c r="L271" s="388"/>
      <c r="M271" s="388"/>
      <c r="N271" s="388"/>
      <c r="O271" s="388"/>
      <c r="P271" s="388"/>
      <c r="Q271" s="388"/>
      <c r="R271" s="388"/>
      <c r="S271" s="388"/>
      <c r="T271" s="388"/>
      <c r="U271" s="388"/>
      <c r="V271" s="388"/>
      <c r="AA271" s="256"/>
    </row>
    <row r="272">
      <c r="A272" s="388"/>
      <c r="B272" s="388"/>
      <c r="C272" s="388"/>
      <c r="D272" s="388"/>
      <c r="E272" s="388"/>
      <c r="F272" s="388"/>
      <c r="G272" s="388"/>
      <c r="H272" s="388"/>
      <c r="I272" s="388"/>
      <c r="J272" s="388"/>
      <c r="K272" s="388"/>
      <c r="L272" s="388"/>
      <c r="M272" s="388"/>
      <c r="N272" s="388"/>
      <c r="O272" s="388"/>
      <c r="P272" s="388"/>
      <c r="Q272" s="388"/>
      <c r="R272" s="388"/>
      <c r="S272" s="388"/>
      <c r="T272" s="388"/>
      <c r="U272" s="388"/>
      <c r="V272" s="388"/>
      <c r="AA272" s="256"/>
    </row>
    <row r="273">
      <c r="A273" s="388"/>
      <c r="B273" s="388"/>
      <c r="C273" s="388"/>
      <c r="D273" s="388"/>
      <c r="E273" s="388"/>
      <c r="F273" s="388"/>
      <c r="G273" s="388"/>
      <c r="H273" s="388"/>
      <c r="I273" s="388"/>
      <c r="J273" s="388"/>
      <c r="K273" s="388"/>
      <c r="L273" s="388"/>
      <c r="M273" s="388"/>
      <c r="N273" s="388"/>
      <c r="O273" s="388"/>
      <c r="P273" s="388"/>
      <c r="Q273" s="388"/>
      <c r="R273" s="388"/>
      <c r="S273" s="388"/>
      <c r="T273" s="388"/>
      <c r="U273" s="388"/>
      <c r="V273" s="388"/>
      <c r="AA273" s="256"/>
    </row>
    <row r="274">
      <c r="A274" s="388"/>
      <c r="B274" s="388"/>
      <c r="C274" s="388"/>
      <c r="D274" s="388"/>
      <c r="E274" s="388"/>
      <c r="F274" s="388"/>
      <c r="G274" s="388"/>
      <c r="H274" s="388"/>
      <c r="I274" s="388"/>
      <c r="J274" s="388"/>
      <c r="K274" s="388"/>
      <c r="L274" s="388"/>
      <c r="M274" s="388"/>
      <c r="N274" s="388"/>
      <c r="O274" s="388"/>
      <c r="P274" s="388"/>
      <c r="Q274" s="388"/>
      <c r="R274" s="388"/>
      <c r="S274" s="388"/>
      <c r="T274" s="388"/>
      <c r="U274" s="388"/>
      <c r="V274" s="388"/>
      <c r="AA274" s="256"/>
    </row>
    <row r="275">
      <c r="A275" s="388"/>
      <c r="B275" s="388"/>
      <c r="C275" s="388"/>
      <c r="D275" s="388"/>
      <c r="E275" s="388"/>
      <c r="F275" s="388"/>
      <c r="G275" s="388"/>
      <c r="H275" s="388"/>
      <c r="I275" s="388"/>
      <c r="J275" s="388"/>
      <c r="K275" s="388"/>
      <c r="L275" s="388"/>
      <c r="M275" s="388"/>
      <c r="N275" s="388"/>
      <c r="O275" s="388"/>
      <c r="P275" s="388"/>
      <c r="Q275" s="388"/>
      <c r="R275" s="388"/>
      <c r="S275" s="388"/>
      <c r="T275" s="388"/>
      <c r="U275" s="388"/>
      <c r="V275" s="388"/>
      <c r="AA275" s="256"/>
    </row>
    <row r="276">
      <c r="A276" s="388"/>
      <c r="B276" s="388"/>
      <c r="C276" s="388"/>
      <c r="D276" s="388"/>
      <c r="E276" s="388"/>
      <c r="F276" s="388"/>
      <c r="G276" s="388"/>
      <c r="H276" s="388"/>
      <c r="I276" s="388"/>
      <c r="J276" s="388"/>
      <c r="K276" s="388"/>
      <c r="L276" s="388"/>
      <c r="M276" s="388"/>
      <c r="N276" s="388"/>
      <c r="O276" s="388"/>
      <c r="P276" s="388"/>
      <c r="Q276" s="388"/>
      <c r="R276" s="388"/>
      <c r="S276" s="388"/>
      <c r="T276" s="388"/>
      <c r="U276" s="388"/>
      <c r="V276" s="388"/>
      <c r="AA276" s="256"/>
    </row>
    <row r="277">
      <c r="A277" s="388"/>
      <c r="B277" s="388"/>
      <c r="C277" s="388"/>
      <c r="D277" s="388"/>
      <c r="E277" s="388"/>
      <c r="F277" s="388"/>
      <c r="G277" s="388"/>
      <c r="H277" s="388"/>
      <c r="I277" s="388"/>
      <c r="J277" s="388"/>
      <c r="K277" s="388"/>
      <c r="L277" s="388"/>
      <c r="M277" s="388"/>
      <c r="N277" s="388"/>
      <c r="O277" s="388"/>
      <c r="P277" s="388"/>
      <c r="Q277" s="388"/>
      <c r="R277" s="388"/>
      <c r="S277" s="388"/>
      <c r="T277" s="388"/>
      <c r="U277" s="388"/>
      <c r="V277" s="388"/>
      <c r="AA277" s="256"/>
    </row>
    <row r="278">
      <c r="A278" s="388"/>
      <c r="B278" s="388"/>
      <c r="C278" s="388"/>
      <c r="D278" s="388"/>
      <c r="E278" s="388"/>
      <c r="F278" s="388"/>
      <c r="G278" s="388"/>
      <c r="H278" s="388"/>
      <c r="I278" s="388"/>
      <c r="J278" s="388"/>
      <c r="K278" s="388"/>
      <c r="L278" s="388"/>
      <c r="M278" s="388"/>
      <c r="N278" s="388"/>
      <c r="O278" s="388"/>
      <c r="P278" s="388"/>
      <c r="Q278" s="388"/>
      <c r="R278" s="388"/>
      <c r="S278" s="388"/>
      <c r="T278" s="388"/>
      <c r="U278" s="388"/>
      <c r="V278" s="388"/>
      <c r="AA278" s="256"/>
    </row>
    <row r="279">
      <c r="A279" s="388"/>
      <c r="B279" s="388"/>
      <c r="C279" s="388"/>
      <c r="D279" s="388"/>
      <c r="E279" s="388"/>
      <c r="F279" s="388"/>
      <c r="G279" s="388"/>
      <c r="H279" s="388"/>
      <c r="I279" s="388"/>
      <c r="J279" s="388"/>
      <c r="K279" s="388"/>
      <c r="L279" s="388"/>
      <c r="M279" s="388"/>
      <c r="N279" s="388"/>
      <c r="O279" s="388"/>
      <c r="P279" s="388"/>
      <c r="Q279" s="388"/>
      <c r="R279" s="388"/>
      <c r="S279" s="388"/>
      <c r="T279" s="388"/>
      <c r="U279" s="388"/>
      <c r="V279" s="388"/>
      <c r="AA279" s="256"/>
    </row>
    <row r="280">
      <c r="A280" s="388"/>
      <c r="B280" s="388"/>
      <c r="C280" s="388"/>
      <c r="D280" s="388"/>
      <c r="E280" s="388"/>
      <c r="F280" s="388"/>
      <c r="G280" s="388"/>
      <c r="H280" s="388"/>
      <c r="I280" s="388"/>
      <c r="J280" s="388"/>
      <c r="K280" s="388"/>
      <c r="L280" s="388"/>
      <c r="M280" s="388"/>
      <c r="N280" s="388"/>
      <c r="O280" s="388"/>
      <c r="P280" s="388"/>
      <c r="Q280" s="388"/>
      <c r="R280" s="388"/>
      <c r="S280" s="388"/>
      <c r="T280" s="388"/>
      <c r="U280" s="388"/>
      <c r="V280" s="388"/>
      <c r="AA280" s="256"/>
    </row>
    <row r="281">
      <c r="A281" s="388"/>
      <c r="B281" s="388"/>
      <c r="C281" s="388"/>
      <c r="D281" s="388"/>
      <c r="E281" s="388"/>
      <c r="F281" s="388"/>
      <c r="G281" s="388"/>
      <c r="H281" s="388"/>
      <c r="I281" s="388"/>
      <c r="J281" s="388"/>
      <c r="K281" s="388"/>
      <c r="L281" s="388"/>
      <c r="M281" s="388"/>
      <c r="N281" s="388"/>
      <c r="O281" s="388"/>
      <c r="P281" s="388"/>
      <c r="Q281" s="388"/>
      <c r="R281" s="388"/>
      <c r="S281" s="388"/>
      <c r="T281" s="388"/>
      <c r="U281" s="388"/>
      <c r="V281" s="388"/>
      <c r="AA281" s="256"/>
    </row>
    <row r="282">
      <c r="A282" s="388"/>
      <c r="B282" s="388"/>
      <c r="C282" s="388"/>
      <c r="D282" s="388"/>
      <c r="E282" s="388"/>
      <c r="F282" s="388"/>
      <c r="G282" s="388"/>
      <c r="H282" s="388"/>
      <c r="I282" s="388"/>
      <c r="J282" s="388"/>
      <c r="K282" s="388"/>
      <c r="L282" s="388"/>
      <c r="M282" s="388"/>
      <c r="N282" s="388"/>
      <c r="O282" s="388"/>
      <c r="P282" s="388"/>
      <c r="Q282" s="388"/>
      <c r="R282" s="388"/>
      <c r="S282" s="388"/>
      <c r="T282" s="388"/>
      <c r="U282" s="388"/>
      <c r="V282" s="388"/>
      <c r="AA282" s="256"/>
    </row>
    <row r="283">
      <c r="A283" s="388"/>
      <c r="B283" s="388"/>
      <c r="C283" s="388"/>
      <c r="D283" s="388"/>
      <c r="E283" s="388"/>
      <c r="F283" s="388"/>
      <c r="G283" s="388"/>
      <c r="H283" s="388"/>
      <c r="I283" s="388"/>
      <c r="J283" s="388"/>
      <c r="K283" s="388"/>
      <c r="L283" s="388"/>
      <c r="M283" s="388"/>
      <c r="N283" s="388"/>
      <c r="O283" s="388"/>
      <c r="P283" s="388"/>
      <c r="Q283" s="388"/>
      <c r="R283" s="388"/>
      <c r="S283" s="388"/>
      <c r="T283" s="388"/>
      <c r="U283" s="388"/>
      <c r="V283" s="388"/>
      <c r="AA283" s="256"/>
    </row>
    <row r="284">
      <c r="A284" s="388"/>
      <c r="B284" s="388"/>
      <c r="C284" s="388"/>
      <c r="D284" s="388"/>
      <c r="E284" s="388"/>
      <c r="F284" s="388"/>
      <c r="G284" s="388"/>
      <c r="H284" s="388"/>
      <c r="I284" s="388"/>
      <c r="J284" s="388"/>
      <c r="K284" s="388"/>
      <c r="L284" s="388"/>
      <c r="M284" s="388"/>
      <c r="N284" s="388"/>
      <c r="O284" s="388"/>
      <c r="P284" s="388"/>
      <c r="Q284" s="388"/>
      <c r="R284" s="388"/>
      <c r="S284" s="388"/>
      <c r="T284" s="388"/>
      <c r="U284" s="388"/>
      <c r="V284" s="388"/>
      <c r="AA284" s="256"/>
    </row>
    <row r="285">
      <c r="A285" s="388"/>
      <c r="B285" s="388"/>
      <c r="C285" s="388"/>
      <c r="D285" s="388"/>
      <c r="E285" s="388"/>
      <c r="F285" s="388"/>
      <c r="G285" s="388"/>
      <c r="H285" s="388"/>
      <c r="I285" s="388"/>
      <c r="J285" s="388"/>
      <c r="K285" s="388"/>
      <c r="L285" s="388"/>
      <c r="M285" s="388"/>
      <c r="N285" s="388"/>
      <c r="O285" s="388"/>
      <c r="P285" s="388"/>
      <c r="Q285" s="388"/>
      <c r="R285" s="388"/>
      <c r="S285" s="388"/>
      <c r="T285" s="388"/>
      <c r="U285" s="388"/>
      <c r="V285" s="388"/>
      <c r="AA285" s="256"/>
    </row>
    <row r="286">
      <c r="A286" s="388"/>
      <c r="B286" s="388"/>
      <c r="C286" s="388"/>
      <c r="D286" s="388"/>
      <c r="E286" s="388"/>
      <c r="F286" s="388"/>
      <c r="G286" s="388"/>
      <c r="H286" s="388"/>
      <c r="I286" s="388"/>
      <c r="J286" s="388"/>
      <c r="K286" s="388"/>
      <c r="L286" s="388"/>
      <c r="M286" s="388"/>
      <c r="N286" s="388"/>
      <c r="O286" s="388"/>
      <c r="P286" s="388"/>
      <c r="Q286" s="388"/>
      <c r="R286" s="388"/>
      <c r="S286" s="388"/>
      <c r="T286" s="388"/>
      <c r="U286" s="388"/>
      <c r="V286" s="388"/>
      <c r="AA286" s="256"/>
    </row>
    <row r="287">
      <c r="A287" s="388"/>
      <c r="B287" s="388"/>
      <c r="C287" s="388"/>
      <c r="D287" s="388"/>
      <c r="E287" s="388"/>
      <c r="F287" s="388"/>
      <c r="G287" s="388"/>
      <c r="H287" s="388"/>
      <c r="I287" s="388"/>
      <c r="J287" s="388"/>
      <c r="K287" s="388"/>
      <c r="L287" s="388"/>
      <c r="M287" s="388"/>
      <c r="N287" s="388"/>
      <c r="O287" s="388"/>
      <c r="P287" s="388"/>
      <c r="Q287" s="388"/>
      <c r="R287" s="388"/>
      <c r="S287" s="388"/>
      <c r="T287" s="388"/>
      <c r="U287" s="388"/>
      <c r="V287" s="388"/>
      <c r="AA287" s="256"/>
    </row>
    <row r="288">
      <c r="A288" s="388"/>
      <c r="B288" s="388"/>
      <c r="C288" s="388"/>
      <c r="D288" s="388"/>
      <c r="E288" s="388"/>
      <c r="F288" s="388"/>
      <c r="G288" s="388"/>
      <c r="H288" s="388"/>
      <c r="I288" s="388"/>
      <c r="J288" s="388"/>
      <c r="K288" s="388"/>
      <c r="L288" s="388"/>
      <c r="M288" s="388"/>
      <c r="N288" s="388"/>
      <c r="O288" s="388"/>
      <c r="P288" s="388"/>
      <c r="Q288" s="388"/>
      <c r="R288" s="388"/>
      <c r="S288" s="388"/>
      <c r="T288" s="388"/>
      <c r="U288" s="388"/>
      <c r="V288" s="388"/>
      <c r="AA288" s="256"/>
    </row>
    <row r="289">
      <c r="A289" s="388"/>
      <c r="B289" s="388"/>
      <c r="C289" s="388"/>
      <c r="D289" s="388"/>
      <c r="E289" s="388"/>
      <c r="F289" s="388"/>
      <c r="G289" s="388"/>
      <c r="H289" s="388"/>
      <c r="I289" s="388"/>
      <c r="J289" s="388"/>
      <c r="K289" s="388"/>
      <c r="L289" s="388"/>
      <c r="M289" s="388"/>
      <c r="N289" s="388"/>
      <c r="O289" s="388"/>
      <c r="P289" s="388"/>
      <c r="Q289" s="388"/>
      <c r="R289" s="388"/>
      <c r="S289" s="388"/>
      <c r="T289" s="388"/>
      <c r="U289" s="388"/>
      <c r="V289" s="388"/>
      <c r="AA289" s="256"/>
    </row>
    <row r="290">
      <c r="A290" s="388"/>
      <c r="B290" s="388"/>
      <c r="C290" s="388"/>
      <c r="D290" s="388"/>
      <c r="E290" s="388"/>
      <c r="F290" s="388"/>
      <c r="G290" s="388"/>
      <c r="H290" s="388"/>
      <c r="I290" s="388"/>
      <c r="J290" s="388"/>
      <c r="K290" s="388"/>
      <c r="L290" s="388"/>
      <c r="M290" s="388"/>
      <c r="N290" s="388"/>
      <c r="O290" s="388"/>
      <c r="P290" s="388"/>
      <c r="Q290" s="388"/>
      <c r="R290" s="388"/>
      <c r="S290" s="388"/>
      <c r="T290" s="388"/>
      <c r="U290" s="388"/>
      <c r="V290" s="388"/>
      <c r="AA290" s="256"/>
    </row>
    <row r="291">
      <c r="A291" s="388"/>
      <c r="B291" s="388"/>
      <c r="C291" s="388"/>
      <c r="D291" s="388"/>
      <c r="E291" s="388"/>
      <c r="F291" s="388"/>
      <c r="G291" s="388"/>
      <c r="H291" s="388"/>
      <c r="I291" s="388"/>
      <c r="J291" s="388"/>
      <c r="K291" s="388"/>
      <c r="L291" s="388"/>
      <c r="M291" s="388"/>
      <c r="N291" s="388"/>
      <c r="O291" s="388"/>
      <c r="P291" s="388"/>
      <c r="Q291" s="388"/>
      <c r="R291" s="388"/>
      <c r="S291" s="388"/>
      <c r="T291" s="388"/>
      <c r="U291" s="388"/>
      <c r="V291" s="388"/>
      <c r="AA291" s="256"/>
    </row>
    <row r="292">
      <c r="A292" s="388"/>
      <c r="B292" s="388"/>
      <c r="C292" s="388"/>
      <c r="D292" s="388"/>
      <c r="E292" s="388"/>
      <c r="F292" s="388"/>
      <c r="G292" s="388"/>
      <c r="H292" s="388"/>
      <c r="I292" s="388"/>
      <c r="J292" s="388"/>
      <c r="K292" s="388"/>
      <c r="L292" s="388"/>
      <c r="M292" s="388"/>
      <c r="N292" s="388"/>
      <c r="O292" s="388"/>
      <c r="P292" s="388"/>
      <c r="Q292" s="388"/>
      <c r="R292" s="388"/>
      <c r="S292" s="388"/>
      <c r="T292" s="388"/>
      <c r="U292" s="388"/>
      <c r="V292" s="388"/>
      <c r="AA292" s="256"/>
    </row>
    <row r="293">
      <c r="A293" s="388"/>
      <c r="B293" s="388"/>
      <c r="C293" s="388"/>
      <c r="D293" s="388"/>
      <c r="E293" s="388"/>
      <c r="F293" s="388"/>
      <c r="G293" s="388"/>
      <c r="H293" s="388"/>
      <c r="I293" s="388"/>
      <c r="J293" s="388"/>
      <c r="K293" s="388"/>
      <c r="L293" s="388"/>
      <c r="M293" s="388"/>
      <c r="N293" s="388"/>
      <c r="O293" s="388"/>
      <c r="P293" s="388"/>
      <c r="Q293" s="388"/>
      <c r="R293" s="388"/>
      <c r="S293" s="388"/>
      <c r="T293" s="388"/>
      <c r="U293" s="388"/>
      <c r="V293" s="388"/>
      <c r="AA293" s="256"/>
    </row>
    <row r="294">
      <c r="A294" s="388"/>
      <c r="B294" s="388"/>
      <c r="C294" s="388"/>
      <c r="D294" s="388"/>
      <c r="E294" s="388"/>
      <c r="F294" s="388"/>
      <c r="G294" s="388"/>
      <c r="H294" s="388"/>
      <c r="I294" s="388"/>
      <c r="J294" s="388"/>
      <c r="K294" s="388"/>
      <c r="L294" s="388"/>
      <c r="M294" s="388"/>
      <c r="N294" s="388"/>
      <c r="O294" s="388"/>
      <c r="P294" s="388"/>
      <c r="Q294" s="388"/>
      <c r="R294" s="388"/>
      <c r="S294" s="388"/>
      <c r="T294" s="388"/>
      <c r="U294" s="388"/>
      <c r="V294" s="388"/>
      <c r="AA294" s="256"/>
    </row>
    <row r="295">
      <c r="A295" s="388"/>
      <c r="B295" s="388"/>
      <c r="C295" s="388"/>
      <c r="D295" s="388"/>
      <c r="E295" s="388"/>
      <c r="F295" s="388"/>
      <c r="G295" s="388"/>
      <c r="H295" s="388"/>
      <c r="I295" s="388"/>
      <c r="J295" s="388"/>
      <c r="K295" s="388"/>
      <c r="L295" s="388"/>
      <c r="M295" s="388"/>
      <c r="N295" s="388"/>
      <c r="O295" s="388"/>
      <c r="P295" s="388"/>
      <c r="Q295" s="388"/>
      <c r="R295" s="388"/>
      <c r="S295" s="388"/>
      <c r="T295" s="388"/>
      <c r="U295" s="388"/>
      <c r="V295" s="388"/>
      <c r="AA295" s="256"/>
    </row>
    <row r="296">
      <c r="A296" s="388"/>
      <c r="B296" s="388"/>
      <c r="C296" s="388"/>
      <c r="D296" s="388"/>
      <c r="E296" s="388"/>
      <c r="F296" s="388"/>
      <c r="G296" s="388"/>
      <c r="H296" s="388"/>
      <c r="I296" s="388"/>
      <c r="J296" s="388"/>
      <c r="K296" s="388"/>
      <c r="L296" s="388"/>
      <c r="M296" s="388"/>
      <c r="N296" s="388"/>
      <c r="O296" s="388"/>
      <c r="P296" s="388"/>
      <c r="Q296" s="388"/>
      <c r="R296" s="388"/>
      <c r="S296" s="388"/>
      <c r="T296" s="388"/>
      <c r="U296" s="388"/>
      <c r="V296" s="388"/>
      <c r="AA296" s="256"/>
    </row>
    <row r="297">
      <c r="A297" s="388"/>
      <c r="B297" s="388"/>
      <c r="C297" s="388"/>
      <c r="D297" s="388"/>
      <c r="E297" s="388"/>
      <c r="F297" s="388"/>
      <c r="G297" s="388"/>
      <c r="H297" s="388"/>
      <c r="I297" s="388"/>
      <c r="J297" s="388"/>
      <c r="K297" s="388"/>
      <c r="L297" s="388"/>
      <c r="M297" s="388"/>
      <c r="N297" s="388"/>
      <c r="O297" s="388"/>
      <c r="P297" s="388"/>
      <c r="Q297" s="388"/>
      <c r="R297" s="388"/>
      <c r="S297" s="388"/>
      <c r="T297" s="388"/>
      <c r="U297" s="388"/>
      <c r="V297" s="388"/>
      <c r="AA297" s="256"/>
    </row>
    <row r="298">
      <c r="A298" s="388"/>
      <c r="B298" s="388"/>
      <c r="C298" s="388"/>
      <c r="D298" s="388"/>
      <c r="E298" s="388"/>
      <c r="F298" s="388"/>
      <c r="G298" s="388"/>
      <c r="H298" s="388"/>
      <c r="I298" s="388"/>
      <c r="J298" s="388"/>
      <c r="K298" s="388"/>
      <c r="L298" s="388"/>
      <c r="M298" s="388"/>
      <c r="N298" s="388"/>
      <c r="O298" s="388"/>
      <c r="P298" s="388"/>
      <c r="Q298" s="388"/>
      <c r="R298" s="388"/>
      <c r="S298" s="388"/>
      <c r="T298" s="388"/>
      <c r="U298" s="388"/>
      <c r="V298" s="388"/>
      <c r="AA298" s="256"/>
    </row>
    <row r="299">
      <c r="A299" s="388"/>
      <c r="B299" s="388"/>
      <c r="C299" s="388"/>
      <c r="D299" s="388"/>
      <c r="E299" s="388"/>
      <c r="F299" s="388"/>
      <c r="G299" s="388"/>
      <c r="H299" s="388"/>
      <c r="I299" s="388"/>
      <c r="J299" s="388"/>
      <c r="K299" s="388"/>
      <c r="L299" s="388"/>
      <c r="M299" s="388"/>
      <c r="N299" s="388"/>
      <c r="O299" s="388"/>
      <c r="P299" s="388"/>
      <c r="Q299" s="388"/>
      <c r="R299" s="388"/>
      <c r="S299" s="388"/>
      <c r="T299" s="388"/>
      <c r="U299" s="388"/>
      <c r="V299" s="388"/>
      <c r="AA299" s="256"/>
    </row>
    <row r="300">
      <c r="A300" s="388"/>
      <c r="B300" s="388"/>
      <c r="C300" s="388"/>
      <c r="D300" s="388"/>
      <c r="E300" s="388"/>
      <c r="F300" s="388"/>
      <c r="G300" s="388"/>
      <c r="H300" s="388"/>
      <c r="I300" s="388"/>
      <c r="J300" s="388"/>
      <c r="K300" s="388"/>
      <c r="L300" s="388"/>
      <c r="M300" s="388"/>
      <c r="N300" s="388"/>
      <c r="O300" s="388"/>
      <c r="P300" s="388"/>
      <c r="Q300" s="388"/>
      <c r="R300" s="388"/>
      <c r="S300" s="388"/>
      <c r="T300" s="388"/>
      <c r="U300" s="388"/>
      <c r="V300" s="388"/>
      <c r="AA300" s="256"/>
    </row>
    <row r="301">
      <c r="A301" s="388"/>
      <c r="B301" s="388"/>
      <c r="C301" s="388"/>
      <c r="D301" s="388"/>
      <c r="E301" s="388"/>
      <c r="F301" s="388"/>
      <c r="G301" s="388"/>
      <c r="H301" s="388"/>
      <c r="I301" s="388"/>
      <c r="J301" s="388"/>
      <c r="K301" s="388"/>
      <c r="L301" s="388"/>
      <c r="M301" s="388"/>
      <c r="N301" s="388"/>
      <c r="O301" s="388"/>
      <c r="P301" s="388"/>
      <c r="Q301" s="388"/>
      <c r="R301" s="388"/>
      <c r="S301" s="388"/>
      <c r="T301" s="388"/>
      <c r="U301" s="388"/>
      <c r="V301" s="388"/>
      <c r="AA301" s="256"/>
    </row>
    <row r="302">
      <c r="A302" s="388"/>
      <c r="B302" s="388"/>
      <c r="C302" s="388"/>
      <c r="D302" s="388"/>
      <c r="E302" s="388"/>
      <c r="F302" s="388"/>
      <c r="G302" s="388"/>
      <c r="H302" s="388"/>
      <c r="I302" s="388"/>
      <c r="J302" s="388"/>
      <c r="K302" s="388"/>
      <c r="L302" s="388"/>
      <c r="M302" s="388"/>
      <c r="N302" s="388"/>
      <c r="O302" s="388"/>
      <c r="P302" s="388"/>
      <c r="Q302" s="388"/>
      <c r="R302" s="388"/>
      <c r="S302" s="388"/>
      <c r="T302" s="388"/>
      <c r="U302" s="388"/>
      <c r="V302" s="388"/>
      <c r="AA302" s="256"/>
    </row>
    <row r="303">
      <c r="A303" s="388"/>
      <c r="B303" s="388"/>
      <c r="C303" s="388"/>
      <c r="D303" s="388"/>
      <c r="E303" s="388"/>
      <c r="F303" s="388"/>
      <c r="G303" s="388"/>
      <c r="H303" s="388"/>
      <c r="I303" s="388"/>
      <c r="J303" s="388"/>
      <c r="K303" s="388"/>
      <c r="L303" s="388"/>
      <c r="M303" s="388"/>
      <c r="N303" s="388"/>
      <c r="O303" s="388"/>
      <c r="P303" s="388"/>
      <c r="Q303" s="388"/>
      <c r="R303" s="388"/>
      <c r="S303" s="388"/>
      <c r="T303" s="388"/>
      <c r="U303" s="388"/>
      <c r="V303" s="388"/>
      <c r="AA303" s="256"/>
    </row>
    <row r="304">
      <c r="A304" s="388"/>
      <c r="B304" s="388"/>
      <c r="C304" s="388"/>
      <c r="D304" s="388"/>
      <c r="E304" s="388"/>
      <c r="F304" s="388"/>
      <c r="G304" s="388"/>
      <c r="H304" s="388"/>
      <c r="I304" s="388"/>
      <c r="J304" s="388"/>
      <c r="K304" s="388"/>
      <c r="L304" s="388"/>
      <c r="M304" s="388"/>
      <c r="N304" s="388"/>
      <c r="O304" s="388"/>
      <c r="P304" s="388"/>
      <c r="Q304" s="388"/>
      <c r="R304" s="388"/>
      <c r="S304" s="388"/>
      <c r="T304" s="388"/>
      <c r="U304" s="388"/>
      <c r="V304" s="388"/>
      <c r="AA304" s="256"/>
    </row>
    <row r="305">
      <c r="A305" s="388"/>
      <c r="B305" s="388"/>
      <c r="C305" s="388"/>
      <c r="D305" s="388"/>
      <c r="E305" s="388"/>
      <c r="F305" s="388"/>
      <c r="G305" s="388"/>
      <c r="H305" s="388"/>
      <c r="I305" s="388"/>
      <c r="J305" s="388"/>
      <c r="K305" s="388"/>
      <c r="L305" s="388"/>
      <c r="M305" s="388"/>
      <c r="N305" s="388"/>
      <c r="O305" s="388"/>
      <c r="P305" s="388"/>
      <c r="Q305" s="388"/>
      <c r="R305" s="388"/>
      <c r="S305" s="388"/>
      <c r="T305" s="388"/>
      <c r="U305" s="388"/>
      <c r="V305" s="388"/>
      <c r="AA305" s="256"/>
    </row>
    <row r="306">
      <c r="A306" s="388"/>
      <c r="B306" s="388"/>
      <c r="C306" s="388"/>
      <c r="D306" s="388"/>
      <c r="E306" s="388"/>
      <c r="F306" s="388"/>
      <c r="G306" s="388"/>
      <c r="H306" s="388"/>
      <c r="I306" s="388"/>
      <c r="J306" s="388"/>
      <c r="K306" s="388"/>
      <c r="L306" s="388"/>
      <c r="M306" s="388"/>
      <c r="N306" s="388"/>
      <c r="O306" s="388"/>
      <c r="P306" s="388"/>
      <c r="Q306" s="388"/>
      <c r="R306" s="388"/>
      <c r="S306" s="388"/>
      <c r="T306" s="388"/>
      <c r="U306" s="388"/>
      <c r="V306" s="388"/>
      <c r="AA306" s="256"/>
    </row>
    <row r="307">
      <c r="A307" s="388"/>
      <c r="B307" s="388"/>
      <c r="C307" s="388"/>
      <c r="D307" s="388"/>
      <c r="E307" s="388"/>
      <c r="F307" s="388"/>
      <c r="G307" s="388"/>
      <c r="H307" s="388"/>
      <c r="I307" s="388"/>
      <c r="J307" s="388"/>
      <c r="K307" s="388"/>
      <c r="L307" s="388"/>
      <c r="M307" s="388"/>
      <c r="N307" s="388"/>
      <c r="O307" s="388"/>
      <c r="P307" s="388"/>
      <c r="Q307" s="388"/>
      <c r="R307" s="388"/>
      <c r="S307" s="388"/>
      <c r="T307" s="388"/>
      <c r="U307" s="388"/>
      <c r="V307" s="388"/>
      <c r="AA307" s="256"/>
    </row>
    <row r="308">
      <c r="A308" s="388"/>
      <c r="B308" s="388"/>
      <c r="C308" s="388"/>
      <c r="D308" s="388"/>
      <c r="E308" s="388"/>
      <c r="F308" s="388"/>
      <c r="G308" s="388"/>
      <c r="H308" s="388"/>
      <c r="I308" s="388"/>
      <c r="J308" s="388"/>
      <c r="K308" s="388"/>
      <c r="L308" s="388"/>
      <c r="M308" s="388"/>
      <c r="N308" s="388"/>
      <c r="O308" s="388"/>
      <c r="P308" s="388"/>
      <c r="Q308" s="388"/>
      <c r="R308" s="388"/>
      <c r="S308" s="388"/>
      <c r="T308" s="388"/>
      <c r="U308" s="388"/>
      <c r="V308" s="388"/>
      <c r="AA308" s="256"/>
    </row>
    <row r="309">
      <c r="A309" s="388"/>
      <c r="B309" s="388"/>
      <c r="C309" s="388"/>
      <c r="D309" s="388"/>
      <c r="E309" s="388"/>
      <c r="F309" s="388"/>
      <c r="G309" s="388"/>
      <c r="H309" s="388"/>
      <c r="I309" s="388"/>
      <c r="J309" s="388"/>
      <c r="K309" s="388"/>
      <c r="L309" s="388"/>
      <c r="M309" s="388"/>
      <c r="N309" s="388"/>
      <c r="O309" s="388"/>
      <c r="P309" s="388"/>
      <c r="Q309" s="388"/>
      <c r="R309" s="388"/>
      <c r="S309" s="388"/>
      <c r="T309" s="388"/>
      <c r="U309" s="388"/>
      <c r="V309" s="388"/>
      <c r="AA309" s="256"/>
    </row>
    <row r="310">
      <c r="A310" s="388"/>
      <c r="B310" s="388"/>
      <c r="C310" s="388"/>
      <c r="D310" s="388"/>
      <c r="E310" s="388"/>
      <c r="F310" s="388"/>
      <c r="G310" s="388"/>
      <c r="H310" s="388"/>
      <c r="I310" s="388"/>
      <c r="J310" s="388"/>
      <c r="K310" s="388"/>
      <c r="L310" s="388"/>
      <c r="M310" s="388"/>
      <c r="N310" s="388"/>
      <c r="O310" s="388"/>
      <c r="P310" s="388"/>
      <c r="Q310" s="388"/>
      <c r="R310" s="388"/>
      <c r="S310" s="388"/>
      <c r="T310" s="388"/>
      <c r="U310" s="388"/>
      <c r="V310" s="388"/>
      <c r="AA310" s="256"/>
    </row>
    <row r="311">
      <c r="A311" s="388"/>
      <c r="B311" s="388"/>
      <c r="C311" s="388"/>
      <c r="D311" s="388"/>
      <c r="E311" s="388"/>
      <c r="F311" s="388"/>
      <c r="G311" s="388"/>
      <c r="H311" s="388"/>
      <c r="I311" s="388"/>
      <c r="J311" s="388"/>
      <c r="K311" s="388"/>
      <c r="L311" s="388"/>
      <c r="M311" s="388"/>
      <c r="N311" s="388"/>
      <c r="O311" s="388"/>
      <c r="P311" s="388"/>
      <c r="Q311" s="388"/>
      <c r="R311" s="388"/>
      <c r="S311" s="388"/>
      <c r="T311" s="388"/>
      <c r="U311" s="388"/>
      <c r="V311" s="388"/>
      <c r="AA311" s="256"/>
    </row>
    <row r="312">
      <c r="A312" s="388"/>
      <c r="B312" s="388"/>
      <c r="C312" s="388"/>
      <c r="D312" s="388"/>
      <c r="E312" s="388"/>
      <c r="F312" s="388"/>
      <c r="G312" s="388"/>
      <c r="H312" s="388"/>
      <c r="I312" s="388"/>
      <c r="J312" s="388"/>
      <c r="K312" s="388"/>
      <c r="L312" s="388"/>
      <c r="M312" s="388"/>
      <c r="N312" s="388"/>
      <c r="O312" s="388"/>
      <c r="P312" s="388"/>
      <c r="Q312" s="388"/>
      <c r="R312" s="388"/>
      <c r="S312" s="388"/>
      <c r="T312" s="388"/>
      <c r="U312" s="388"/>
      <c r="V312" s="388"/>
      <c r="AA312" s="256"/>
    </row>
    <row r="313">
      <c r="A313" s="388"/>
      <c r="B313" s="388"/>
      <c r="C313" s="388"/>
      <c r="D313" s="388"/>
      <c r="E313" s="388"/>
      <c r="F313" s="388"/>
      <c r="G313" s="388"/>
      <c r="H313" s="388"/>
      <c r="I313" s="388"/>
      <c r="J313" s="388"/>
      <c r="K313" s="388"/>
      <c r="L313" s="388"/>
      <c r="M313" s="388"/>
      <c r="N313" s="388"/>
      <c r="O313" s="388"/>
      <c r="P313" s="388"/>
      <c r="Q313" s="388"/>
      <c r="R313" s="388"/>
      <c r="S313" s="388"/>
      <c r="T313" s="388"/>
      <c r="U313" s="388"/>
      <c r="V313" s="388"/>
      <c r="AA313" s="256"/>
    </row>
    <row r="314">
      <c r="A314" s="388"/>
      <c r="B314" s="388"/>
      <c r="C314" s="388"/>
      <c r="D314" s="388"/>
      <c r="E314" s="388"/>
      <c r="F314" s="388"/>
      <c r="G314" s="388"/>
      <c r="H314" s="388"/>
      <c r="I314" s="388"/>
      <c r="J314" s="388"/>
      <c r="K314" s="388"/>
      <c r="L314" s="388"/>
      <c r="M314" s="388"/>
      <c r="N314" s="388"/>
      <c r="O314" s="388"/>
      <c r="P314" s="388"/>
      <c r="Q314" s="388"/>
      <c r="R314" s="388"/>
      <c r="S314" s="388"/>
      <c r="T314" s="388"/>
      <c r="U314" s="388"/>
      <c r="V314" s="388"/>
      <c r="AA314" s="256"/>
    </row>
    <row r="315">
      <c r="A315" s="388"/>
      <c r="B315" s="388"/>
      <c r="C315" s="388"/>
      <c r="D315" s="388"/>
      <c r="E315" s="388"/>
      <c r="F315" s="388"/>
      <c r="G315" s="388"/>
      <c r="H315" s="388"/>
      <c r="I315" s="388"/>
      <c r="J315" s="388"/>
      <c r="K315" s="388"/>
      <c r="L315" s="388"/>
      <c r="M315" s="388"/>
      <c r="N315" s="388"/>
      <c r="O315" s="388"/>
      <c r="P315" s="388"/>
      <c r="Q315" s="388"/>
      <c r="R315" s="388"/>
      <c r="S315" s="388"/>
      <c r="T315" s="388"/>
      <c r="U315" s="388"/>
      <c r="V315" s="388"/>
      <c r="AA315" s="256"/>
    </row>
    <row r="316">
      <c r="A316" s="388"/>
      <c r="B316" s="388"/>
      <c r="C316" s="388"/>
      <c r="D316" s="388"/>
      <c r="E316" s="388"/>
      <c r="F316" s="388"/>
      <c r="G316" s="388"/>
      <c r="H316" s="388"/>
      <c r="I316" s="388"/>
      <c r="J316" s="388"/>
      <c r="K316" s="388"/>
      <c r="L316" s="388"/>
      <c r="M316" s="388"/>
      <c r="N316" s="388"/>
      <c r="O316" s="388"/>
      <c r="P316" s="388"/>
      <c r="Q316" s="388"/>
      <c r="R316" s="388"/>
      <c r="S316" s="388"/>
      <c r="T316" s="388"/>
      <c r="U316" s="388"/>
      <c r="V316" s="388"/>
      <c r="AA316" s="256"/>
    </row>
    <row r="317">
      <c r="A317" s="388"/>
      <c r="B317" s="388"/>
      <c r="C317" s="388"/>
      <c r="D317" s="388"/>
      <c r="E317" s="388"/>
      <c r="F317" s="388"/>
      <c r="G317" s="388"/>
      <c r="H317" s="388"/>
      <c r="I317" s="388"/>
      <c r="J317" s="388"/>
      <c r="K317" s="388"/>
      <c r="L317" s="388"/>
      <c r="M317" s="388"/>
      <c r="N317" s="388"/>
      <c r="O317" s="388"/>
      <c r="P317" s="388"/>
      <c r="Q317" s="388"/>
      <c r="R317" s="388"/>
      <c r="S317" s="388"/>
      <c r="T317" s="388"/>
      <c r="U317" s="388"/>
      <c r="V317" s="388"/>
      <c r="AA317" s="256"/>
    </row>
    <row r="318">
      <c r="A318" s="388"/>
      <c r="B318" s="388"/>
      <c r="C318" s="388"/>
      <c r="D318" s="388"/>
      <c r="E318" s="388"/>
      <c r="F318" s="388"/>
      <c r="G318" s="388"/>
      <c r="H318" s="388"/>
      <c r="I318" s="388"/>
      <c r="J318" s="388"/>
      <c r="K318" s="388"/>
      <c r="L318" s="388"/>
      <c r="M318" s="388"/>
      <c r="N318" s="388"/>
      <c r="O318" s="388"/>
      <c r="P318" s="388"/>
      <c r="Q318" s="388"/>
      <c r="R318" s="388"/>
      <c r="S318" s="388"/>
      <c r="T318" s="388"/>
      <c r="U318" s="388"/>
      <c r="V318" s="388"/>
      <c r="AA318" s="256"/>
    </row>
    <row r="319">
      <c r="A319" s="388"/>
      <c r="B319" s="388"/>
      <c r="C319" s="388"/>
      <c r="D319" s="388"/>
      <c r="E319" s="388"/>
      <c r="F319" s="388"/>
      <c r="G319" s="388"/>
      <c r="H319" s="388"/>
      <c r="I319" s="388"/>
      <c r="J319" s="388"/>
      <c r="K319" s="388"/>
      <c r="L319" s="388"/>
      <c r="M319" s="388"/>
      <c r="N319" s="388"/>
      <c r="O319" s="388"/>
      <c r="P319" s="388"/>
      <c r="Q319" s="388"/>
      <c r="R319" s="388"/>
      <c r="S319" s="388"/>
      <c r="T319" s="388"/>
      <c r="U319" s="388"/>
      <c r="V319" s="388"/>
      <c r="AA319" s="256"/>
    </row>
    <row r="320">
      <c r="A320" s="388"/>
      <c r="B320" s="388"/>
      <c r="C320" s="388"/>
      <c r="D320" s="388"/>
      <c r="E320" s="388"/>
      <c r="F320" s="388"/>
      <c r="G320" s="388"/>
      <c r="H320" s="388"/>
      <c r="I320" s="388"/>
      <c r="J320" s="388"/>
      <c r="K320" s="388"/>
      <c r="L320" s="388"/>
      <c r="M320" s="388"/>
      <c r="N320" s="388"/>
      <c r="O320" s="388"/>
      <c r="P320" s="388"/>
      <c r="Q320" s="388"/>
      <c r="R320" s="388"/>
      <c r="S320" s="388"/>
      <c r="T320" s="388"/>
      <c r="U320" s="388"/>
      <c r="V320" s="388"/>
      <c r="AA320" s="256"/>
    </row>
    <row r="321">
      <c r="A321" s="388"/>
      <c r="B321" s="388"/>
      <c r="C321" s="388"/>
      <c r="D321" s="388"/>
      <c r="E321" s="388"/>
      <c r="F321" s="388"/>
      <c r="G321" s="388"/>
      <c r="H321" s="388"/>
      <c r="I321" s="388"/>
      <c r="J321" s="388"/>
      <c r="K321" s="388"/>
      <c r="L321" s="388"/>
      <c r="M321" s="388"/>
      <c r="N321" s="388"/>
      <c r="O321" s="388"/>
      <c r="P321" s="388"/>
      <c r="Q321" s="388"/>
      <c r="R321" s="388"/>
      <c r="S321" s="388"/>
      <c r="T321" s="388"/>
      <c r="U321" s="388"/>
      <c r="V321" s="388"/>
      <c r="AA321" s="256"/>
    </row>
    <row r="322">
      <c r="A322" s="388"/>
      <c r="B322" s="388"/>
      <c r="C322" s="388"/>
      <c r="D322" s="388"/>
      <c r="E322" s="388"/>
      <c r="F322" s="388"/>
      <c r="G322" s="388"/>
      <c r="H322" s="388"/>
      <c r="I322" s="388"/>
      <c r="J322" s="388"/>
      <c r="K322" s="388"/>
      <c r="L322" s="388"/>
      <c r="M322" s="388"/>
      <c r="N322" s="388"/>
      <c r="O322" s="388"/>
      <c r="P322" s="388"/>
      <c r="Q322" s="388"/>
      <c r="R322" s="388"/>
      <c r="S322" s="388"/>
      <c r="T322" s="388"/>
      <c r="U322" s="388"/>
      <c r="V322" s="388"/>
      <c r="AA322" s="256"/>
    </row>
    <row r="323">
      <c r="A323" s="388"/>
      <c r="B323" s="388"/>
      <c r="C323" s="388"/>
      <c r="D323" s="388"/>
      <c r="E323" s="388"/>
      <c r="F323" s="388"/>
      <c r="G323" s="388"/>
      <c r="H323" s="388"/>
      <c r="I323" s="388"/>
      <c r="J323" s="388"/>
      <c r="K323" s="388"/>
      <c r="L323" s="388"/>
      <c r="M323" s="388"/>
      <c r="N323" s="388"/>
      <c r="O323" s="388"/>
      <c r="P323" s="388"/>
      <c r="Q323" s="388"/>
      <c r="R323" s="388"/>
      <c r="S323" s="388"/>
      <c r="T323" s="388"/>
      <c r="U323" s="388"/>
      <c r="V323" s="388"/>
      <c r="AA323" s="256"/>
    </row>
    <row r="324">
      <c r="A324" s="388"/>
      <c r="B324" s="388"/>
      <c r="C324" s="388"/>
      <c r="D324" s="388"/>
      <c r="E324" s="388"/>
      <c r="F324" s="388"/>
      <c r="G324" s="388"/>
      <c r="H324" s="388"/>
      <c r="I324" s="388"/>
      <c r="J324" s="388"/>
      <c r="K324" s="388"/>
      <c r="L324" s="388"/>
      <c r="M324" s="388"/>
      <c r="N324" s="388"/>
      <c r="O324" s="388"/>
      <c r="P324" s="388"/>
      <c r="Q324" s="388"/>
      <c r="R324" s="388"/>
      <c r="S324" s="388"/>
      <c r="T324" s="388"/>
      <c r="U324" s="388"/>
      <c r="V324" s="388"/>
      <c r="AA324" s="256"/>
    </row>
    <row r="325">
      <c r="A325" s="388"/>
      <c r="B325" s="388"/>
      <c r="C325" s="388"/>
      <c r="D325" s="388"/>
      <c r="E325" s="388"/>
      <c r="F325" s="388"/>
      <c r="G325" s="388"/>
      <c r="H325" s="388"/>
      <c r="I325" s="388"/>
      <c r="J325" s="388"/>
      <c r="K325" s="388"/>
      <c r="L325" s="388"/>
      <c r="M325" s="388"/>
      <c r="N325" s="388"/>
      <c r="O325" s="388"/>
      <c r="P325" s="388"/>
      <c r="Q325" s="388"/>
      <c r="R325" s="388"/>
      <c r="S325" s="388"/>
      <c r="T325" s="388"/>
      <c r="U325" s="388"/>
      <c r="V325" s="388"/>
      <c r="AA325" s="256"/>
    </row>
    <row r="326">
      <c r="A326" s="388"/>
      <c r="B326" s="388"/>
      <c r="C326" s="388"/>
      <c r="D326" s="388"/>
      <c r="E326" s="388"/>
      <c r="F326" s="388"/>
      <c r="G326" s="388"/>
      <c r="H326" s="388"/>
      <c r="I326" s="388"/>
      <c r="J326" s="388"/>
      <c r="K326" s="388"/>
      <c r="L326" s="388"/>
      <c r="M326" s="388"/>
      <c r="N326" s="388"/>
      <c r="O326" s="388"/>
      <c r="P326" s="388"/>
      <c r="Q326" s="388"/>
      <c r="R326" s="388"/>
      <c r="S326" s="388"/>
      <c r="T326" s="388"/>
      <c r="U326" s="388"/>
      <c r="V326" s="388"/>
      <c r="AA326" s="256"/>
    </row>
    <row r="327">
      <c r="A327" s="388"/>
      <c r="B327" s="388"/>
      <c r="C327" s="388"/>
      <c r="D327" s="388"/>
      <c r="E327" s="388"/>
      <c r="F327" s="388"/>
      <c r="G327" s="388"/>
      <c r="H327" s="388"/>
      <c r="I327" s="388"/>
      <c r="J327" s="388"/>
      <c r="K327" s="388"/>
      <c r="L327" s="388"/>
      <c r="M327" s="388"/>
      <c r="N327" s="388"/>
      <c r="O327" s="388"/>
      <c r="P327" s="388"/>
      <c r="Q327" s="388"/>
      <c r="R327" s="388"/>
      <c r="S327" s="388"/>
      <c r="T327" s="388"/>
      <c r="U327" s="388"/>
      <c r="V327" s="388"/>
      <c r="AA327" s="256"/>
    </row>
    <row r="328">
      <c r="A328" s="388"/>
      <c r="B328" s="388"/>
      <c r="C328" s="388"/>
      <c r="D328" s="388"/>
      <c r="E328" s="388"/>
      <c r="F328" s="388"/>
      <c r="G328" s="388"/>
      <c r="H328" s="388"/>
      <c r="I328" s="388"/>
      <c r="J328" s="388"/>
      <c r="K328" s="388"/>
      <c r="L328" s="388"/>
      <c r="M328" s="388"/>
      <c r="N328" s="388"/>
      <c r="O328" s="388"/>
      <c r="P328" s="388"/>
      <c r="Q328" s="388"/>
      <c r="R328" s="388"/>
      <c r="S328" s="388"/>
      <c r="T328" s="388"/>
      <c r="U328" s="388"/>
      <c r="V328" s="388"/>
      <c r="AA328" s="256"/>
    </row>
    <row r="329">
      <c r="A329" s="388"/>
      <c r="B329" s="388"/>
      <c r="C329" s="388"/>
      <c r="D329" s="388"/>
      <c r="E329" s="388"/>
      <c r="F329" s="388"/>
      <c r="G329" s="388"/>
      <c r="H329" s="388"/>
      <c r="I329" s="388"/>
      <c r="J329" s="388"/>
      <c r="K329" s="388"/>
      <c r="L329" s="388"/>
      <c r="M329" s="388"/>
      <c r="N329" s="388"/>
      <c r="O329" s="388"/>
      <c r="P329" s="388"/>
      <c r="Q329" s="388"/>
      <c r="R329" s="388"/>
      <c r="S329" s="388"/>
      <c r="T329" s="388"/>
      <c r="U329" s="388"/>
      <c r="V329" s="388"/>
      <c r="AA329" s="256"/>
    </row>
    <row r="330">
      <c r="A330" s="388"/>
      <c r="B330" s="388"/>
      <c r="C330" s="388"/>
      <c r="D330" s="388"/>
      <c r="E330" s="388"/>
      <c r="F330" s="388"/>
      <c r="G330" s="388"/>
      <c r="H330" s="388"/>
      <c r="I330" s="388"/>
      <c r="J330" s="388"/>
      <c r="K330" s="388"/>
      <c r="L330" s="388"/>
      <c r="M330" s="388"/>
      <c r="N330" s="388"/>
      <c r="O330" s="388"/>
      <c r="P330" s="388"/>
      <c r="Q330" s="388"/>
      <c r="R330" s="388"/>
      <c r="S330" s="388"/>
      <c r="T330" s="388"/>
      <c r="U330" s="388"/>
      <c r="V330" s="388"/>
      <c r="AA330" s="256"/>
    </row>
    <row r="331">
      <c r="A331" s="388"/>
      <c r="B331" s="388"/>
      <c r="C331" s="388"/>
      <c r="D331" s="388"/>
      <c r="E331" s="388"/>
      <c r="F331" s="388"/>
      <c r="G331" s="388"/>
      <c r="H331" s="388"/>
      <c r="I331" s="388"/>
      <c r="J331" s="388"/>
      <c r="K331" s="388"/>
      <c r="L331" s="388"/>
      <c r="M331" s="388"/>
      <c r="N331" s="388"/>
      <c r="O331" s="388"/>
      <c r="P331" s="388"/>
      <c r="Q331" s="388"/>
      <c r="R331" s="388"/>
      <c r="S331" s="388"/>
      <c r="T331" s="388"/>
      <c r="U331" s="388"/>
      <c r="V331" s="388"/>
      <c r="AA331" s="256"/>
    </row>
    <row r="332">
      <c r="A332" s="388"/>
      <c r="B332" s="388"/>
      <c r="C332" s="388"/>
      <c r="D332" s="388"/>
      <c r="E332" s="388"/>
      <c r="F332" s="388"/>
      <c r="G332" s="388"/>
      <c r="H332" s="388"/>
      <c r="I332" s="388"/>
      <c r="J332" s="388"/>
      <c r="K332" s="388"/>
      <c r="L332" s="388"/>
      <c r="M332" s="388"/>
      <c r="N332" s="388"/>
      <c r="O332" s="388"/>
      <c r="P332" s="388"/>
      <c r="Q332" s="388"/>
      <c r="R332" s="388"/>
      <c r="S332" s="388"/>
      <c r="T332" s="388"/>
      <c r="U332" s="388"/>
      <c r="V332" s="388"/>
      <c r="AA332" s="256"/>
    </row>
    <row r="333">
      <c r="A333" s="388"/>
      <c r="B333" s="388"/>
      <c r="C333" s="388"/>
      <c r="D333" s="388"/>
      <c r="E333" s="388"/>
      <c r="F333" s="388"/>
      <c r="G333" s="388"/>
      <c r="H333" s="388"/>
      <c r="I333" s="388"/>
      <c r="J333" s="388"/>
      <c r="K333" s="388"/>
      <c r="L333" s="388"/>
      <c r="M333" s="388"/>
      <c r="N333" s="388"/>
      <c r="O333" s="388"/>
      <c r="P333" s="388"/>
      <c r="Q333" s="388"/>
      <c r="R333" s="388"/>
      <c r="S333" s="388"/>
      <c r="T333" s="388"/>
      <c r="U333" s="388"/>
      <c r="V333" s="388"/>
      <c r="AA333" s="256"/>
    </row>
    <row r="334">
      <c r="A334" s="388"/>
      <c r="B334" s="388"/>
      <c r="C334" s="388"/>
      <c r="D334" s="388"/>
      <c r="E334" s="388"/>
      <c r="F334" s="388"/>
      <c r="G334" s="388"/>
      <c r="H334" s="388"/>
      <c r="I334" s="388"/>
      <c r="J334" s="388"/>
      <c r="K334" s="388"/>
      <c r="L334" s="388"/>
      <c r="M334" s="388"/>
      <c r="N334" s="388"/>
      <c r="O334" s="388"/>
      <c r="P334" s="388"/>
      <c r="Q334" s="388"/>
      <c r="R334" s="388"/>
      <c r="S334" s="388"/>
      <c r="T334" s="388"/>
      <c r="U334" s="388"/>
      <c r="V334" s="388"/>
      <c r="AA334" s="256"/>
    </row>
    <row r="335">
      <c r="A335" s="388"/>
      <c r="B335" s="388"/>
      <c r="C335" s="388"/>
      <c r="D335" s="388"/>
      <c r="E335" s="388"/>
      <c r="F335" s="388"/>
      <c r="G335" s="388"/>
      <c r="H335" s="388"/>
      <c r="I335" s="388"/>
      <c r="J335" s="388"/>
      <c r="K335" s="388"/>
      <c r="L335" s="388"/>
      <c r="M335" s="388"/>
      <c r="N335" s="388"/>
      <c r="O335" s="388"/>
      <c r="P335" s="388"/>
      <c r="Q335" s="388"/>
      <c r="R335" s="388"/>
      <c r="S335" s="388"/>
      <c r="T335" s="388"/>
      <c r="U335" s="388"/>
      <c r="V335" s="388"/>
      <c r="AA335" s="256"/>
    </row>
    <row r="336">
      <c r="A336" s="388"/>
      <c r="B336" s="388"/>
      <c r="C336" s="388"/>
      <c r="D336" s="388"/>
      <c r="E336" s="388"/>
      <c r="F336" s="388"/>
      <c r="G336" s="388"/>
      <c r="H336" s="388"/>
      <c r="I336" s="388"/>
      <c r="J336" s="388"/>
      <c r="K336" s="388"/>
      <c r="L336" s="388"/>
      <c r="M336" s="388"/>
      <c r="N336" s="388"/>
      <c r="O336" s="388"/>
      <c r="P336" s="388"/>
      <c r="Q336" s="388"/>
      <c r="R336" s="388"/>
      <c r="S336" s="388"/>
      <c r="T336" s="388"/>
      <c r="U336" s="388"/>
      <c r="V336" s="388"/>
      <c r="AA336" s="256"/>
    </row>
    <row r="337">
      <c r="A337" s="388"/>
      <c r="B337" s="388"/>
      <c r="C337" s="388"/>
      <c r="D337" s="388"/>
      <c r="E337" s="388"/>
      <c r="F337" s="388"/>
      <c r="G337" s="388"/>
      <c r="H337" s="388"/>
      <c r="I337" s="388"/>
      <c r="J337" s="388"/>
      <c r="K337" s="388"/>
      <c r="L337" s="388"/>
      <c r="M337" s="388"/>
      <c r="N337" s="388"/>
      <c r="O337" s="388"/>
      <c r="P337" s="388"/>
      <c r="Q337" s="388"/>
      <c r="R337" s="388"/>
      <c r="S337" s="388"/>
      <c r="T337" s="388"/>
      <c r="U337" s="388"/>
      <c r="V337" s="388"/>
      <c r="AA337" s="256"/>
    </row>
    <row r="338">
      <c r="A338" s="388"/>
      <c r="B338" s="388"/>
      <c r="C338" s="388"/>
      <c r="D338" s="388"/>
      <c r="E338" s="388"/>
      <c r="F338" s="388"/>
      <c r="G338" s="388"/>
      <c r="H338" s="388"/>
      <c r="I338" s="388"/>
      <c r="J338" s="388"/>
      <c r="K338" s="388"/>
      <c r="L338" s="388"/>
      <c r="M338" s="388"/>
      <c r="N338" s="388"/>
      <c r="O338" s="388"/>
      <c r="P338" s="388"/>
      <c r="Q338" s="388"/>
      <c r="R338" s="388"/>
      <c r="S338" s="388"/>
      <c r="T338" s="388"/>
      <c r="U338" s="388"/>
      <c r="V338" s="388"/>
      <c r="AA338" s="256"/>
    </row>
    <row r="339">
      <c r="A339" s="388"/>
      <c r="B339" s="388"/>
      <c r="C339" s="388"/>
      <c r="D339" s="388"/>
      <c r="E339" s="388"/>
      <c r="F339" s="388"/>
      <c r="G339" s="388"/>
      <c r="H339" s="388"/>
      <c r="I339" s="388"/>
      <c r="J339" s="388"/>
      <c r="K339" s="388"/>
      <c r="L339" s="388"/>
      <c r="M339" s="388"/>
      <c r="N339" s="388"/>
      <c r="O339" s="388"/>
      <c r="P339" s="388"/>
      <c r="Q339" s="388"/>
      <c r="R339" s="388"/>
      <c r="S339" s="388"/>
      <c r="T339" s="388"/>
      <c r="U339" s="388"/>
      <c r="V339" s="388"/>
      <c r="AA339" s="256"/>
    </row>
    <row r="340">
      <c r="A340" s="388"/>
      <c r="B340" s="388"/>
      <c r="C340" s="388"/>
      <c r="D340" s="388"/>
      <c r="E340" s="388"/>
      <c r="F340" s="388"/>
      <c r="G340" s="388"/>
      <c r="H340" s="388"/>
      <c r="I340" s="388"/>
      <c r="J340" s="388"/>
      <c r="K340" s="388"/>
      <c r="L340" s="388"/>
      <c r="M340" s="388"/>
      <c r="N340" s="388"/>
      <c r="O340" s="388"/>
      <c r="P340" s="388"/>
      <c r="Q340" s="388"/>
      <c r="R340" s="388"/>
      <c r="S340" s="388"/>
      <c r="T340" s="388"/>
      <c r="U340" s="388"/>
      <c r="V340" s="388"/>
      <c r="AA340" s="256"/>
    </row>
    <row r="341">
      <c r="A341" s="388"/>
      <c r="B341" s="388"/>
      <c r="C341" s="388"/>
      <c r="D341" s="388"/>
      <c r="E341" s="388"/>
      <c r="F341" s="388"/>
      <c r="G341" s="388"/>
      <c r="H341" s="388"/>
      <c r="I341" s="388"/>
      <c r="J341" s="388"/>
      <c r="K341" s="388"/>
      <c r="L341" s="388"/>
      <c r="M341" s="388"/>
      <c r="N341" s="388"/>
      <c r="O341" s="388"/>
      <c r="P341" s="388"/>
      <c r="Q341" s="388"/>
      <c r="R341" s="388"/>
      <c r="S341" s="388"/>
      <c r="T341" s="388"/>
      <c r="U341" s="388"/>
      <c r="V341" s="388"/>
      <c r="AA341" s="256"/>
    </row>
    <row r="342">
      <c r="A342" s="388"/>
      <c r="B342" s="388"/>
      <c r="C342" s="388"/>
      <c r="D342" s="388"/>
      <c r="E342" s="388"/>
      <c r="F342" s="388"/>
      <c r="G342" s="388"/>
      <c r="H342" s="388"/>
      <c r="I342" s="388"/>
      <c r="J342" s="388"/>
      <c r="K342" s="388"/>
      <c r="L342" s="388"/>
      <c r="M342" s="388"/>
      <c r="N342" s="388"/>
      <c r="O342" s="388"/>
      <c r="P342" s="388"/>
      <c r="Q342" s="388"/>
      <c r="R342" s="388"/>
      <c r="S342" s="388"/>
      <c r="T342" s="388"/>
      <c r="U342" s="388"/>
      <c r="V342" s="388"/>
      <c r="AA342" s="256"/>
    </row>
    <row r="343">
      <c r="A343" s="388"/>
      <c r="B343" s="388"/>
      <c r="C343" s="388"/>
      <c r="D343" s="388"/>
      <c r="E343" s="388"/>
      <c r="F343" s="388"/>
      <c r="G343" s="388"/>
      <c r="H343" s="388"/>
      <c r="I343" s="388"/>
      <c r="J343" s="388"/>
      <c r="K343" s="388"/>
      <c r="L343" s="388"/>
      <c r="M343" s="388"/>
      <c r="N343" s="388"/>
      <c r="O343" s="388"/>
      <c r="P343" s="388"/>
      <c r="Q343" s="388"/>
      <c r="R343" s="388"/>
      <c r="S343" s="388"/>
      <c r="T343" s="388"/>
      <c r="U343" s="388"/>
      <c r="V343" s="388"/>
      <c r="AA343" s="256"/>
    </row>
    <row r="344">
      <c r="A344" s="388"/>
      <c r="B344" s="388"/>
      <c r="C344" s="388"/>
      <c r="D344" s="388"/>
      <c r="E344" s="388"/>
      <c r="F344" s="388"/>
      <c r="G344" s="388"/>
      <c r="H344" s="388"/>
      <c r="I344" s="388"/>
      <c r="J344" s="388"/>
      <c r="K344" s="388"/>
      <c r="L344" s="388"/>
      <c r="M344" s="388"/>
      <c r="N344" s="388"/>
      <c r="O344" s="388"/>
      <c r="P344" s="388"/>
      <c r="Q344" s="388"/>
      <c r="R344" s="388"/>
      <c r="S344" s="388"/>
      <c r="T344" s="388"/>
      <c r="U344" s="388"/>
      <c r="V344" s="388"/>
      <c r="AA344" s="256"/>
    </row>
    <row r="345">
      <c r="A345" s="388"/>
      <c r="B345" s="388"/>
      <c r="C345" s="388"/>
      <c r="D345" s="388"/>
      <c r="E345" s="388"/>
      <c r="F345" s="388"/>
      <c r="G345" s="388"/>
      <c r="H345" s="388"/>
      <c r="I345" s="388"/>
      <c r="J345" s="388"/>
      <c r="K345" s="388"/>
      <c r="L345" s="388"/>
      <c r="M345" s="388"/>
      <c r="N345" s="388"/>
      <c r="O345" s="388"/>
      <c r="P345" s="388"/>
      <c r="Q345" s="388"/>
      <c r="R345" s="388"/>
      <c r="S345" s="388"/>
      <c r="T345" s="388"/>
      <c r="U345" s="388"/>
      <c r="V345" s="388"/>
      <c r="AA345" s="256"/>
    </row>
    <row r="346">
      <c r="A346" s="388"/>
      <c r="B346" s="388"/>
      <c r="C346" s="388"/>
      <c r="D346" s="388"/>
      <c r="E346" s="388"/>
      <c r="F346" s="388"/>
      <c r="G346" s="388"/>
      <c r="H346" s="388"/>
      <c r="I346" s="388"/>
      <c r="J346" s="388"/>
      <c r="K346" s="388"/>
      <c r="L346" s="388"/>
      <c r="M346" s="388"/>
      <c r="N346" s="388"/>
      <c r="O346" s="388"/>
      <c r="P346" s="388"/>
      <c r="Q346" s="388"/>
      <c r="R346" s="388"/>
      <c r="S346" s="388"/>
      <c r="T346" s="388"/>
      <c r="U346" s="388"/>
      <c r="V346" s="388"/>
      <c r="AA346" s="256"/>
    </row>
    <row r="347">
      <c r="A347" s="388"/>
      <c r="B347" s="388"/>
      <c r="C347" s="388"/>
      <c r="D347" s="388"/>
      <c r="E347" s="388"/>
      <c r="F347" s="388"/>
      <c r="G347" s="388"/>
      <c r="H347" s="388"/>
      <c r="I347" s="388"/>
      <c r="J347" s="388"/>
      <c r="K347" s="388"/>
      <c r="L347" s="388"/>
      <c r="M347" s="388"/>
      <c r="N347" s="388"/>
      <c r="O347" s="388"/>
      <c r="P347" s="388"/>
      <c r="Q347" s="388"/>
      <c r="R347" s="388"/>
      <c r="S347" s="388"/>
      <c r="T347" s="388"/>
      <c r="U347" s="388"/>
      <c r="V347" s="388"/>
      <c r="AA347" s="256"/>
    </row>
    <row r="348">
      <c r="A348" s="388"/>
      <c r="B348" s="388"/>
      <c r="C348" s="388"/>
      <c r="D348" s="388"/>
      <c r="E348" s="388"/>
      <c r="F348" s="388"/>
      <c r="G348" s="388"/>
      <c r="H348" s="388"/>
      <c r="I348" s="388"/>
      <c r="J348" s="388"/>
      <c r="K348" s="388"/>
      <c r="L348" s="388"/>
      <c r="M348" s="388"/>
      <c r="N348" s="388"/>
      <c r="O348" s="388"/>
      <c r="P348" s="388"/>
      <c r="Q348" s="388"/>
      <c r="R348" s="388"/>
      <c r="S348" s="388"/>
      <c r="T348" s="388"/>
      <c r="U348" s="388"/>
      <c r="V348" s="388"/>
      <c r="AA348" s="256"/>
    </row>
    <row r="349">
      <c r="A349" s="388"/>
      <c r="B349" s="388"/>
      <c r="C349" s="388"/>
      <c r="D349" s="388"/>
      <c r="E349" s="388"/>
      <c r="F349" s="388"/>
      <c r="G349" s="388"/>
      <c r="H349" s="388"/>
      <c r="I349" s="388"/>
      <c r="J349" s="388"/>
      <c r="K349" s="388"/>
      <c r="L349" s="388"/>
      <c r="M349" s="388"/>
      <c r="N349" s="388"/>
      <c r="O349" s="388"/>
      <c r="P349" s="388"/>
      <c r="Q349" s="388"/>
      <c r="R349" s="388"/>
      <c r="S349" s="388"/>
      <c r="T349" s="388"/>
      <c r="U349" s="388"/>
      <c r="V349" s="388"/>
      <c r="AA349" s="256"/>
    </row>
    <row r="350">
      <c r="A350" s="388"/>
      <c r="B350" s="388"/>
      <c r="C350" s="388"/>
      <c r="D350" s="388"/>
      <c r="E350" s="388"/>
      <c r="F350" s="388"/>
      <c r="G350" s="388"/>
      <c r="H350" s="388"/>
      <c r="I350" s="388"/>
      <c r="J350" s="388"/>
      <c r="K350" s="388"/>
      <c r="L350" s="388"/>
      <c r="M350" s="388"/>
      <c r="N350" s="388"/>
      <c r="O350" s="388"/>
      <c r="P350" s="388"/>
      <c r="Q350" s="388"/>
      <c r="R350" s="388"/>
      <c r="S350" s="388"/>
      <c r="T350" s="388"/>
      <c r="U350" s="388"/>
      <c r="V350" s="388"/>
      <c r="AA350" s="256"/>
    </row>
    <row r="351">
      <c r="A351" s="388"/>
      <c r="B351" s="388"/>
      <c r="C351" s="388"/>
      <c r="D351" s="388"/>
      <c r="E351" s="388"/>
      <c r="F351" s="388"/>
      <c r="G351" s="388"/>
      <c r="H351" s="388"/>
      <c r="I351" s="388"/>
      <c r="J351" s="388"/>
      <c r="K351" s="388"/>
      <c r="L351" s="388"/>
      <c r="M351" s="388"/>
      <c r="N351" s="388"/>
      <c r="O351" s="388"/>
      <c r="P351" s="388"/>
      <c r="Q351" s="388"/>
      <c r="R351" s="388"/>
      <c r="S351" s="388"/>
      <c r="T351" s="388"/>
      <c r="U351" s="388"/>
      <c r="V351" s="388"/>
      <c r="AA351" s="256"/>
    </row>
    <row r="352">
      <c r="A352" s="388"/>
      <c r="B352" s="388"/>
      <c r="C352" s="388"/>
      <c r="D352" s="388"/>
      <c r="E352" s="388"/>
      <c r="F352" s="388"/>
      <c r="G352" s="388"/>
      <c r="H352" s="388"/>
      <c r="I352" s="388"/>
      <c r="J352" s="388"/>
      <c r="K352" s="388"/>
      <c r="L352" s="388"/>
      <c r="M352" s="388"/>
      <c r="N352" s="388"/>
      <c r="O352" s="388"/>
      <c r="P352" s="388"/>
      <c r="Q352" s="388"/>
      <c r="R352" s="388"/>
      <c r="S352" s="388"/>
      <c r="T352" s="388"/>
      <c r="U352" s="388"/>
      <c r="V352" s="388"/>
      <c r="AA352" s="256"/>
    </row>
    <row r="353">
      <c r="A353" s="388"/>
      <c r="B353" s="388"/>
      <c r="C353" s="388"/>
      <c r="D353" s="388"/>
      <c r="E353" s="388"/>
      <c r="F353" s="388"/>
      <c r="G353" s="388"/>
      <c r="H353" s="388"/>
      <c r="I353" s="388"/>
      <c r="J353" s="388"/>
      <c r="K353" s="388"/>
      <c r="L353" s="388"/>
      <c r="M353" s="388"/>
      <c r="N353" s="388"/>
      <c r="O353" s="388"/>
      <c r="P353" s="388"/>
      <c r="Q353" s="388"/>
      <c r="R353" s="388"/>
      <c r="S353" s="388"/>
      <c r="T353" s="388"/>
      <c r="U353" s="388"/>
      <c r="V353" s="388"/>
      <c r="AA353" s="256"/>
    </row>
    <row r="354">
      <c r="A354" s="388"/>
      <c r="B354" s="388"/>
      <c r="C354" s="388"/>
      <c r="D354" s="388"/>
      <c r="E354" s="388"/>
      <c r="F354" s="388"/>
      <c r="G354" s="388"/>
      <c r="H354" s="388"/>
      <c r="I354" s="388"/>
      <c r="J354" s="388"/>
      <c r="K354" s="388"/>
      <c r="L354" s="388"/>
      <c r="M354" s="388"/>
      <c r="N354" s="388"/>
      <c r="O354" s="388"/>
      <c r="P354" s="388"/>
      <c r="Q354" s="388"/>
      <c r="R354" s="388"/>
      <c r="S354" s="388"/>
      <c r="T354" s="388"/>
      <c r="U354" s="388"/>
      <c r="V354" s="388"/>
      <c r="AA354" s="256"/>
    </row>
    <row r="355">
      <c r="A355" s="388"/>
      <c r="B355" s="388"/>
      <c r="C355" s="388"/>
      <c r="D355" s="388"/>
      <c r="E355" s="388"/>
      <c r="F355" s="388"/>
      <c r="G355" s="388"/>
      <c r="H355" s="388"/>
      <c r="I355" s="388"/>
      <c r="J355" s="388"/>
      <c r="K355" s="388"/>
      <c r="L355" s="388"/>
      <c r="M355" s="388"/>
      <c r="N355" s="388"/>
      <c r="O355" s="388"/>
      <c r="P355" s="388"/>
      <c r="Q355" s="388"/>
      <c r="R355" s="388"/>
      <c r="S355" s="388"/>
      <c r="T355" s="388"/>
      <c r="U355" s="388"/>
      <c r="V355" s="388"/>
      <c r="AA355" s="256"/>
    </row>
    <row r="356">
      <c r="A356" s="388"/>
      <c r="B356" s="388"/>
      <c r="C356" s="388"/>
      <c r="D356" s="388"/>
      <c r="E356" s="388"/>
      <c r="F356" s="388"/>
      <c r="G356" s="388"/>
      <c r="H356" s="388"/>
      <c r="I356" s="388"/>
      <c r="J356" s="388"/>
      <c r="K356" s="388"/>
      <c r="L356" s="388"/>
      <c r="M356" s="388"/>
      <c r="N356" s="388"/>
      <c r="O356" s="388"/>
      <c r="P356" s="388"/>
      <c r="Q356" s="388"/>
      <c r="R356" s="388"/>
      <c r="S356" s="388"/>
      <c r="T356" s="388"/>
      <c r="U356" s="388"/>
      <c r="V356" s="388"/>
      <c r="AA356" s="256"/>
    </row>
    <row r="357">
      <c r="A357" s="388"/>
      <c r="B357" s="388"/>
      <c r="C357" s="388"/>
      <c r="D357" s="388"/>
      <c r="E357" s="388"/>
      <c r="F357" s="388"/>
      <c r="G357" s="388"/>
      <c r="H357" s="388"/>
      <c r="I357" s="388"/>
      <c r="J357" s="388"/>
      <c r="K357" s="388"/>
      <c r="L357" s="388"/>
      <c r="M357" s="388"/>
      <c r="N357" s="388"/>
      <c r="O357" s="388"/>
      <c r="P357" s="388"/>
      <c r="Q357" s="388"/>
      <c r="R357" s="388"/>
      <c r="S357" s="388"/>
      <c r="T357" s="388"/>
      <c r="U357" s="388"/>
      <c r="V357" s="388"/>
      <c r="AA357" s="256"/>
    </row>
    <row r="358">
      <c r="A358" s="388"/>
      <c r="B358" s="388"/>
      <c r="C358" s="388"/>
      <c r="D358" s="388"/>
      <c r="E358" s="388"/>
      <c r="F358" s="388"/>
      <c r="G358" s="388"/>
      <c r="H358" s="388"/>
      <c r="I358" s="388"/>
      <c r="J358" s="388"/>
      <c r="K358" s="388"/>
      <c r="L358" s="388"/>
      <c r="M358" s="388"/>
      <c r="N358" s="388"/>
      <c r="O358" s="388"/>
      <c r="P358" s="388"/>
      <c r="Q358" s="388"/>
      <c r="R358" s="388"/>
      <c r="S358" s="388"/>
      <c r="T358" s="388"/>
      <c r="U358" s="388"/>
      <c r="V358" s="388"/>
      <c r="AA358" s="256"/>
    </row>
    <row r="359">
      <c r="A359" s="388"/>
      <c r="B359" s="388"/>
      <c r="C359" s="388"/>
      <c r="D359" s="388"/>
      <c r="E359" s="388"/>
      <c r="F359" s="388"/>
      <c r="G359" s="388"/>
      <c r="H359" s="388"/>
      <c r="I359" s="388"/>
      <c r="J359" s="388"/>
      <c r="K359" s="388"/>
      <c r="L359" s="388"/>
      <c r="M359" s="388"/>
      <c r="N359" s="388"/>
      <c r="O359" s="388"/>
      <c r="P359" s="388"/>
      <c r="Q359" s="388"/>
      <c r="R359" s="388"/>
      <c r="S359" s="388"/>
      <c r="T359" s="388"/>
      <c r="U359" s="388"/>
      <c r="V359" s="388"/>
      <c r="AA359" s="256"/>
    </row>
    <row r="360">
      <c r="A360" s="388"/>
      <c r="B360" s="388"/>
      <c r="C360" s="388"/>
      <c r="D360" s="388"/>
      <c r="E360" s="388"/>
      <c r="F360" s="388"/>
      <c r="G360" s="388"/>
      <c r="H360" s="388"/>
      <c r="I360" s="388"/>
      <c r="J360" s="388"/>
      <c r="K360" s="388"/>
      <c r="L360" s="388"/>
      <c r="M360" s="388"/>
      <c r="N360" s="388"/>
      <c r="O360" s="388"/>
      <c r="P360" s="388"/>
      <c r="Q360" s="388"/>
      <c r="R360" s="388"/>
      <c r="S360" s="388"/>
      <c r="T360" s="388"/>
      <c r="U360" s="388"/>
      <c r="V360" s="388"/>
      <c r="AA360" s="256"/>
    </row>
    <row r="361">
      <c r="A361" s="388"/>
      <c r="B361" s="388"/>
      <c r="C361" s="388"/>
      <c r="D361" s="388"/>
      <c r="E361" s="388"/>
      <c r="F361" s="388"/>
      <c r="G361" s="388"/>
      <c r="H361" s="388"/>
      <c r="I361" s="388"/>
      <c r="J361" s="388"/>
      <c r="K361" s="388"/>
      <c r="L361" s="388"/>
      <c r="M361" s="388"/>
      <c r="N361" s="388"/>
      <c r="O361" s="388"/>
      <c r="P361" s="388"/>
      <c r="Q361" s="388"/>
      <c r="R361" s="388"/>
      <c r="S361" s="388"/>
      <c r="T361" s="388"/>
      <c r="U361" s="388"/>
      <c r="V361" s="388"/>
      <c r="AA361" s="256"/>
    </row>
    <row r="362">
      <c r="A362" s="388"/>
      <c r="B362" s="388"/>
      <c r="C362" s="388"/>
      <c r="D362" s="388"/>
      <c r="E362" s="388"/>
      <c r="F362" s="388"/>
      <c r="G362" s="388"/>
      <c r="H362" s="388"/>
      <c r="I362" s="388"/>
      <c r="J362" s="388"/>
      <c r="K362" s="388"/>
      <c r="L362" s="388"/>
      <c r="M362" s="388"/>
      <c r="N362" s="388"/>
      <c r="O362" s="388"/>
      <c r="P362" s="388"/>
      <c r="Q362" s="388"/>
      <c r="R362" s="388"/>
      <c r="S362" s="388"/>
      <c r="T362" s="388"/>
      <c r="U362" s="388"/>
      <c r="V362" s="388"/>
      <c r="AA362" s="256"/>
    </row>
    <row r="363">
      <c r="A363" s="388"/>
      <c r="B363" s="388"/>
      <c r="C363" s="388"/>
      <c r="D363" s="388"/>
      <c r="E363" s="388"/>
      <c r="F363" s="388"/>
      <c r="G363" s="388"/>
      <c r="H363" s="388"/>
      <c r="I363" s="388"/>
      <c r="J363" s="388"/>
      <c r="K363" s="388"/>
      <c r="L363" s="388"/>
      <c r="M363" s="388"/>
      <c r="N363" s="388"/>
      <c r="O363" s="388"/>
      <c r="P363" s="388"/>
      <c r="Q363" s="388"/>
      <c r="R363" s="388"/>
      <c r="S363" s="388"/>
      <c r="T363" s="388"/>
      <c r="U363" s="388"/>
      <c r="V363" s="388"/>
      <c r="AA363" s="256"/>
    </row>
    <row r="364">
      <c r="A364" s="388"/>
      <c r="B364" s="388"/>
      <c r="C364" s="388"/>
      <c r="D364" s="388"/>
      <c r="E364" s="388"/>
      <c r="F364" s="388"/>
      <c r="G364" s="388"/>
      <c r="H364" s="388"/>
      <c r="I364" s="388"/>
      <c r="J364" s="388"/>
      <c r="K364" s="388"/>
      <c r="L364" s="388"/>
      <c r="M364" s="388"/>
      <c r="N364" s="388"/>
      <c r="O364" s="388"/>
      <c r="P364" s="388"/>
      <c r="Q364" s="388"/>
      <c r="R364" s="388"/>
      <c r="S364" s="388"/>
      <c r="T364" s="388"/>
      <c r="U364" s="388"/>
      <c r="V364" s="388"/>
      <c r="AA364" s="256"/>
    </row>
    <row r="365">
      <c r="A365" s="388"/>
      <c r="B365" s="388"/>
      <c r="C365" s="388"/>
      <c r="D365" s="388"/>
      <c r="E365" s="388"/>
      <c r="F365" s="388"/>
      <c r="G365" s="388"/>
      <c r="H365" s="388"/>
      <c r="I365" s="388"/>
      <c r="J365" s="388"/>
      <c r="K365" s="388"/>
      <c r="L365" s="388"/>
      <c r="M365" s="388"/>
      <c r="N365" s="388"/>
      <c r="O365" s="388"/>
      <c r="P365" s="388"/>
      <c r="Q365" s="388"/>
      <c r="R365" s="388"/>
      <c r="S365" s="388"/>
      <c r="T365" s="388"/>
      <c r="U365" s="388"/>
      <c r="V365" s="388"/>
      <c r="AA365" s="256"/>
    </row>
    <row r="366">
      <c r="A366" s="388"/>
      <c r="B366" s="388"/>
      <c r="C366" s="388"/>
      <c r="D366" s="388"/>
      <c r="E366" s="388"/>
      <c r="F366" s="388"/>
      <c r="G366" s="388"/>
      <c r="H366" s="388"/>
      <c r="I366" s="388"/>
      <c r="J366" s="388"/>
      <c r="K366" s="388"/>
      <c r="L366" s="388"/>
      <c r="M366" s="388"/>
      <c r="N366" s="388"/>
      <c r="O366" s="388"/>
      <c r="P366" s="388"/>
      <c r="Q366" s="388"/>
      <c r="R366" s="388"/>
      <c r="S366" s="388"/>
      <c r="T366" s="388"/>
      <c r="U366" s="388"/>
      <c r="V366" s="388"/>
      <c r="AA366" s="256"/>
    </row>
    <row r="367">
      <c r="A367" s="388"/>
      <c r="B367" s="388"/>
      <c r="C367" s="388"/>
      <c r="D367" s="388"/>
      <c r="E367" s="388"/>
      <c r="F367" s="388"/>
      <c r="G367" s="388"/>
      <c r="H367" s="388"/>
      <c r="I367" s="388"/>
      <c r="J367" s="388"/>
      <c r="K367" s="388"/>
      <c r="L367" s="388"/>
      <c r="M367" s="388"/>
      <c r="N367" s="388"/>
      <c r="O367" s="388"/>
      <c r="P367" s="388"/>
      <c r="Q367" s="388"/>
      <c r="R367" s="388"/>
      <c r="S367" s="388"/>
      <c r="T367" s="388"/>
      <c r="U367" s="388"/>
      <c r="V367" s="388"/>
      <c r="AA367" s="256"/>
    </row>
    <row r="368">
      <c r="A368" s="388"/>
      <c r="B368" s="388"/>
      <c r="C368" s="388"/>
      <c r="D368" s="388"/>
      <c r="E368" s="388"/>
      <c r="F368" s="388"/>
      <c r="G368" s="388"/>
      <c r="H368" s="388"/>
      <c r="I368" s="388"/>
      <c r="J368" s="388"/>
      <c r="K368" s="388"/>
      <c r="L368" s="388"/>
      <c r="M368" s="388"/>
      <c r="N368" s="388"/>
      <c r="O368" s="388"/>
      <c r="P368" s="388"/>
      <c r="Q368" s="388"/>
      <c r="R368" s="388"/>
      <c r="S368" s="388"/>
      <c r="T368" s="388"/>
      <c r="U368" s="388"/>
      <c r="V368" s="388"/>
      <c r="AA368" s="256"/>
    </row>
    <row r="369">
      <c r="A369" s="388"/>
      <c r="B369" s="388"/>
      <c r="C369" s="388"/>
      <c r="D369" s="388"/>
      <c r="E369" s="388"/>
      <c r="F369" s="388"/>
      <c r="G369" s="388"/>
      <c r="H369" s="388"/>
      <c r="I369" s="388"/>
      <c r="J369" s="388"/>
      <c r="K369" s="388"/>
      <c r="L369" s="388"/>
      <c r="M369" s="388"/>
      <c r="N369" s="388"/>
      <c r="O369" s="388"/>
      <c r="P369" s="388"/>
      <c r="Q369" s="388"/>
      <c r="R369" s="388"/>
      <c r="S369" s="388"/>
      <c r="T369" s="388"/>
      <c r="U369" s="388"/>
      <c r="V369" s="388"/>
      <c r="AA369" s="256"/>
    </row>
    <row r="370">
      <c r="A370" s="388"/>
      <c r="B370" s="388"/>
      <c r="C370" s="388"/>
      <c r="D370" s="388"/>
      <c r="E370" s="388"/>
      <c r="F370" s="388"/>
      <c r="G370" s="388"/>
      <c r="H370" s="388"/>
      <c r="I370" s="388"/>
      <c r="J370" s="388"/>
      <c r="K370" s="388"/>
      <c r="L370" s="388"/>
      <c r="M370" s="388"/>
      <c r="N370" s="388"/>
      <c r="O370" s="388"/>
      <c r="P370" s="388"/>
      <c r="Q370" s="388"/>
      <c r="R370" s="388"/>
      <c r="S370" s="388"/>
      <c r="T370" s="388"/>
      <c r="U370" s="388"/>
      <c r="V370" s="388"/>
      <c r="AA370" s="256"/>
    </row>
    <row r="371">
      <c r="A371" s="388"/>
      <c r="B371" s="388"/>
      <c r="C371" s="388"/>
      <c r="D371" s="388"/>
      <c r="E371" s="388"/>
      <c r="F371" s="388"/>
      <c r="G371" s="388"/>
      <c r="H371" s="388"/>
      <c r="I371" s="388"/>
      <c r="J371" s="388"/>
      <c r="K371" s="388"/>
      <c r="L371" s="388"/>
      <c r="M371" s="388"/>
      <c r="N371" s="388"/>
      <c r="O371" s="388"/>
      <c r="P371" s="388"/>
      <c r="Q371" s="388"/>
      <c r="R371" s="388"/>
      <c r="S371" s="388"/>
      <c r="T371" s="388"/>
      <c r="U371" s="388"/>
      <c r="V371" s="388"/>
      <c r="AA371" s="256"/>
    </row>
    <row r="372">
      <c r="A372" s="388"/>
      <c r="B372" s="388"/>
      <c r="C372" s="388"/>
      <c r="D372" s="388"/>
      <c r="E372" s="388"/>
      <c r="F372" s="388"/>
      <c r="G372" s="388"/>
      <c r="H372" s="388"/>
      <c r="I372" s="388"/>
      <c r="J372" s="388"/>
      <c r="K372" s="388"/>
      <c r="L372" s="388"/>
      <c r="M372" s="388"/>
      <c r="N372" s="388"/>
      <c r="O372" s="388"/>
      <c r="P372" s="388"/>
      <c r="Q372" s="388"/>
      <c r="R372" s="388"/>
      <c r="S372" s="388"/>
      <c r="T372" s="388"/>
      <c r="U372" s="388"/>
      <c r="V372" s="388"/>
      <c r="AA372" s="256"/>
    </row>
    <row r="373">
      <c r="A373" s="388"/>
      <c r="B373" s="388"/>
      <c r="C373" s="388"/>
      <c r="D373" s="388"/>
      <c r="E373" s="388"/>
      <c r="F373" s="388"/>
      <c r="G373" s="388"/>
      <c r="H373" s="388"/>
      <c r="I373" s="388"/>
      <c r="J373" s="388"/>
      <c r="K373" s="388"/>
      <c r="L373" s="388"/>
      <c r="M373" s="388"/>
      <c r="N373" s="388"/>
      <c r="O373" s="388"/>
      <c r="P373" s="388"/>
      <c r="Q373" s="388"/>
      <c r="R373" s="388"/>
      <c r="S373" s="388"/>
      <c r="T373" s="388"/>
      <c r="U373" s="388"/>
      <c r="V373" s="388"/>
      <c r="AA373" s="256"/>
    </row>
    <row r="374">
      <c r="A374" s="388"/>
      <c r="B374" s="388"/>
      <c r="C374" s="388"/>
      <c r="D374" s="388"/>
      <c r="E374" s="388"/>
      <c r="F374" s="388"/>
      <c r="G374" s="388"/>
      <c r="H374" s="388"/>
      <c r="I374" s="388"/>
      <c r="J374" s="388"/>
      <c r="K374" s="388"/>
      <c r="L374" s="388"/>
      <c r="M374" s="388"/>
      <c r="N374" s="388"/>
      <c r="O374" s="388"/>
      <c r="P374" s="388"/>
      <c r="Q374" s="388"/>
      <c r="R374" s="388"/>
      <c r="S374" s="388"/>
      <c r="T374" s="388"/>
      <c r="U374" s="388"/>
      <c r="V374" s="388"/>
      <c r="AA374" s="256"/>
    </row>
    <row r="375">
      <c r="A375" s="388"/>
      <c r="B375" s="388"/>
      <c r="C375" s="388"/>
      <c r="D375" s="388"/>
      <c r="E375" s="388"/>
      <c r="F375" s="388"/>
      <c r="G375" s="388"/>
      <c r="H375" s="388"/>
      <c r="I375" s="388"/>
      <c r="J375" s="388"/>
      <c r="K375" s="388"/>
      <c r="L375" s="388"/>
      <c r="M375" s="388"/>
      <c r="N375" s="388"/>
      <c r="O375" s="388"/>
      <c r="P375" s="388"/>
      <c r="Q375" s="388"/>
      <c r="R375" s="388"/>
      <c r="S375" s="388"/>
      <c r="T375" s="388"/>
      <c r="U375" s="388"/>
      <c r="V375" s="388"/>
      <c r="AA375" s="256"/>
    </row>
    <row r="376">
      <c r="A376" s="388"/>
      <c r="B376" s="388"/>
      <c r="C376" s="388"/>
      <c r="D376" s="388"/>
      <c r="E376" s="388"/>
      <c r="F376" s="388"/>
      <c r="G376" s="388"/>
      <c r="H376" s="388"/>
      <c r="I376" s="388"/>
      <c r="J376" s="388"/>
      <c r="K376" s="388"/>
      <c r="L376" s="388"/>
      <c r="M376" s="388"/>
      <c r="N376" s="388"/>
      <c r="O376" s="388"/>
      <c r="P376" s="388"/>
      <c r="Q376" s="388"/>
      <c r="R376" s="388"/>
      <c r="S376" s="388"/>
      <c r="T376" s="388"/>
      <c r="U376" s="388"/>
      <c r="V376" s="388"/>
      <c r="AA376" s="256"/>
    </row>
    <row r="377">
      <c r="A377" s="388"/>
      <c r="B377" s="388"/>
      <c r="C377" s="388"/>
      <c r="D377" s="388"/>
      <c r="E377" s="388"/>
      <c r="F377" s="388"/>
      <c r="G377" s="388"/>
      <c r="H377" s="388"/>
      <c r="I377" s="388"/>
      <c r="J377" s="388"/>
      <c r="K377" s="388"/>
      <c r="L377" s="388"/>
      <c r="M377" s="388"/>
      <c r="N377" s="388"/>
      <c r="O377" s="388"/>
      <c r="P377" s="388"/>
      <c r="Q377" s="388"/>
      <c r="R377" s="388"/>
      <c r="S377" s="388"/>
      <c r="T377" s="388"/>
      <c r="U377" s="388"/>
      <c r="V377" s="388"/>
      <c r="AA377" s="256"/>
    </row>
    <row r="378">
      <c r="A378" s="388"/>
      <c r="B378" s="388"/>
      <c r="C378" s="388"/>
      <c r="D378" s="388"/>
      <c r="E378" s="388"/>
      <c r="F378" s="388"/>
      <c r="G378" s="388"/>
      <c r="H378" s="388"/>
      <c r="I378" s="388"/>
      <c r="J378" s="388"/>
      <c r="K378" s="388"/>
      <c r="L378" s="388"/>
      <c r="M378" s="388"/>
      <c r="N378" s="388"/>
      <c r="O378" s="388"/>
      <c r="P378" s="388"/>
      <c r="Q378" s="388"/>
      <c r="R378" s="388"/>
      <c r="S378" s="388"/>
      <c r="T378" s="388"/>
      <c r="U378" s="388"/>
      <c r="V378" s="388"/>
      <c r="AA378" s="256"/>
    </row>
    <row r="379">
      <c r="A379" s="388"/>
      <c r="B379" s="388"/>
      <c r="C379" s="388"/>
      <c r="D379" s="388"/>
      <c r="E379" s="388"/>
      <c r="F379" s="388"/>
      <c r="G379" s="388"/>
      <c r="H379" s="388"/>
      <c r="I379" s="388"/>
      <c r="J379" s="388"/>
      <c r="K379" s="388"/>
      <c r="L379" s="388"/>
      <c r="M379" s="388"/>
      <c r="N379" s="388"/>
      <c r="O379" s="388"/>
      <c r="P379" s="388"/>
      <c r="Q379" s="388"/>
      <c r="R379" s="388"/>
      <c r="S379" s="388"/>
      <c r="T379" s="388"/>
      <c r="U379" s="388"/>
      <c r="V379" s="388"/>
      <c r="AA379" s="256"/>
    </row>
    <row r="380">
      <c r="A380" s="388"/>
      <c r="B380" s="388"/>
      <c r="C380" s="388"/>
      <c r="D380" s="388"/>
      <c r="E380" s="388"/>
      <c r="F380" s="388"/>
      <c r="G380" s="388"/>
      <c r="H380" s="388"/>
      <c r="I380" s="388"/>
      <c r="J380" s="388"/>
      <c r="K380" s="388"/>
      <c r="L380" s="388"/>
      <c r="M380" s="388"/>
      <c r="N380" s="388"/>
      <c r="O380" s="388"/>
      <c r="P380" s="388"/>
      <c r="Q380" s="388"/>
      <c r="R380" s="388"/>
      <c r="S380" s="388"/>
      <c r="T380" s="388"/>
      <c r="U380" s="388"/>
      <c r="V380" s="388"/>
      <c r="AA380" s="256"/>
    </row>
    <row r="381">
      <c r="A381" s="388"/>
      <c r="B381" s="388"/>
      <c r="C381" s="388"/>
      <c r="D381" s="388"/>
      <c r="E381" s="388"/>
      <c r="F381" s="388"/>
      <c r="G381" s="388"/>
      <c r="H381" s="388"/>
      <c r="I381" s="388"/>
      <c r="J381" s="388"/>
      <c r="K381" s="388"/>
      <c r="L381" s="388"/>
      <c r="M381" s="388"/>
      <c r="N381" s="388"/>
      <c r="O381" s="388"/>
      <c r="P381" s="388"/>
      <c r="Q381" s="388"/>
      <c r="R381" s="388"/>
      <c r="S381" s="388"/>
      <c r="T381" s="388"/>
      <c r="U381" s="388"/>
      <c r="V381" s="388"/>
      <c r="AA381" s="256"/>
    </row>
    <row r="382">
      <c r="A382" s="388"/>
      <c r="B382" s="388"/>
      <c r="C382" s="388"/>
      <c r="D382" s="388"/>
      <c r="E382" s="388"/>
      <c r="F382" s="388"/>
      <c r="G382" s="388"/>
      <c r="H382" s="388"/>
      <c r="I382" s="388"/>
      <c r="J382" s="388"/>
      <c r="K382" s="388"/>
      <c r="L382" s="388"/>
      <c r="M382" s="388"/>
      <c r="N382" s="388"/>
      <c r="O382" s="388"/>
      <c r="P382" s="388"/>
      <c r="Q382" s="388"/>
      <c r="R382" s="388"/>
      <c r="S382" s="388"/>
      <c r="T382" s="388"/>
      <c r="U382" s="388"/>
      <c r="V382" s="388"/>
      <c r="AA382" s="256"/>
    </row>
    <row r="383">
      <c r="A383" s="388"/>
      <c r="B383" s="388"/>
      <c r="C383" s="388"/>
      <c r="D383" s="388"/>
      <c r="E383" s="388"/>
      <c r="F383" s="388"/>
      <c r="G383" s="388"/>
      <c r="H383" s="388"/>
      <c r="I383" s="388"/>
      <c r="J383" s="388"/>
      <c r="K383" s="388"/>
      <c r="L383" s="388"/>
      <c r="M383" s="388"/>
      <c r="N383" s="388"/>
      <c r="O383" s="388"/>
      <c r="P383" s="388"/>
      <c r="Q383" s="388"/>
      <c r="R383" s="388"/>
      <c r="S383" s="388"/>
      <c r="T383" s="388"/>
      <c r="U383" s="388"/>
      <c r="V383" s="388"/>
      <c r="AA383" s="256"/>
    </row>
    <row r="384">
      <c r="A384" s="388"/>
      <c r="B384" s="388"/>
      <c r="C384" s="388"/>
      <c r="D384" s="388"/>
      <c r="E384" s="388"/>
      <c r="F384" s="388"/>
      <c r="G384" s="388"/>
      <c r="H384" s="388"/>
      <c r="I384" s="388"/>
      <c r="J384" s="388"/>
      <c r="K384" s="388"/>
      <c r="L384" s="388"/>
      <c r="M384" s="388"/>
      <c r="N384" s="388"/>
      <c r="O384" s="388"/>
      <c r="P384" s="388"/>
      <c r="Q384" s="388"/>
      <c r="R384" s="388"/>
      <c r="S384" s="388"/>
      <c r="T384" s="388"/>
      <c r="U384" s="388"/>
      <c r="V384" s="388"/>
      <c r="AA384" s="256"/>
    </row>
    <row r="385">
      <c r="A385" s="388"/>
      <c r="B385" s="388"/>
      <c r="C385" s="388"/>
      <c r="D385" s="388"/>
      <c r="E385" s="388"/>
      <c r="F385" s="388"/>
      <c r="G385" s="388"/>
      <c r="H385" s="388"/>
      <c r="I385" s="388"/>
      <c r="J385" s="388"/>
      <c r="K385" s="388"/>
      <c r="L385" s="388"/>
      <c r="M385" s="388"/>
      <c r="N385" s="388"/>
      <c r="O385" s="388"/>
      <c r="P385" s="388"/>
      <c r="Q385" s="388"/>
      <c r="R385" s="388"/>
      <c r="S385" s="388"/>
      <c r="T385" s="388"/>
      <c r="U385" s="388"/>
      <c r="V385" s="388"/>
      <c r="AA385" s="256"/>
    </row>
    <row r="386">
      <c r="A386" s="388"/>
      <c r="B386" s="388"/>
      <c r="C386" s="388"/>
      <c r="D386" s="388"/>
      <c r="E386" s="388"/>
      <c r="F386" s="388"/>
      <c r="G386" s="388"/>
      <c r="H386" s="388"/>
      <c r="I386" s="388"/>
      <c r="J386" s="388"/>
      <c r="K386" s="388"/>
      <c r="L386" s="388"/>
      <c r="M386" s="388"/>
      <c r="N386" s="388"/>
      <c r="O386" s="388"/>
      <c r="P386" s="388"/>
      <c r="Q386" s="388"/>
      <c r="R386" s="388"/>
      <c r="S386" s="388"/>
      <c r="T386" s="388"/>
      <c r="U386" s="388"/>
      <c r="V386" s="388"/>
      <c r="AA386" s="256"/>
    </row>
    <row r="387">
      <c r="A387" s="388"/>
      <c r="B387" s="388"/>
      <c r="C387" s="388"/>
      <c r="D387" s="388"/>
      <c r="E387" s="388"/>
      <c r="F387" s="388"/>
      <c r="G387" s="388"/>
      <c r="H387" s="388"/>
      <c r="I387" s="388"/>
      <c r="J387" s="388"/>
      <c r="K387" s="388"/>
      <c r="L387" s="388"/>
      <c r="M387" s="388"/>
      <c r="N387" s="388"/>
      <c r="O387" s="388"/>
      <c r="P387" s="388"/>
      <c r="Q387" s="388"/>
      <c r="R387" s="388"/>
      <c r="S387" s="388"/>
      <c r="T387" s="388"/>
      <c r="U387" s="388"/>
      <c r="V387" s="388"/>
      <c r="AA387" s="256"/>
    </row>
    <row r="388">
      <c r="A388" s="388"/>
      <c r="B388" s="388"/>
      <c r="C388" s="388"/>
      <c r="D388" s="388"/>
      <c r="E388" s="388"/>
      <c r="F388" s="388"/>
      <c r="G388" s="388"/>
      <c r="H388" s="388"/>
      <c r="I388" s="388"/>
      <c r="J388" s="388"/>
      <c r="K388" s="388"/>
      <c r="L388" s="388"/>
      <c r="M388" s="388"/>
      <c r="N388" s="388"/>
      <c r="O388" s="388"/>
      <c r="P388" s="388"/>
      <c r="Q388" s="388"/>
      <c r="R388" s="388"/>
      <c r="S388" s="388"/>
      <c r="T388" s="388"/>
      <c r="U388" s="388"/>
      <c r="V388" s="388"/>
      <c r="AA388" s="256"/>
    </row>
    <row r="389">
      <c r="A389" s="388"/>
      <c r="B389" s="388"/>
      <c r="C389" s="388"/>
      <c r="D389" s="388"/>
      <c r="E389" s="388"/>
      <c r="F389" s="388"/>
      <c r="G389" s="388"/>
      <c r="H389" s="388"/>
      <c r="I389" s="388"/>
      <c r="J389" s="388"/>
      <c r="K389" s="388"/>
      <c r="L389" s="388"/>
      <c r="M389" s="388"/>
      <c r="N389" s="388"/>
      <c r="O389" s="388"/>
      <c r="P389" s="388"/>
      <c r="Q389" s="388"/>
      <c r="R389" s="388"/>
      <c r="S389" s="388"/>
      <c r="T389" s="388"/>
      <c r="U389" s="388"/>
      <c r="V389" s="388"/>
      <c r="AA389" s="256"/>
    </row>
    <row r="390">
      <c r="A390" s="388"/>
      <c r="B390" s="388"/>
      <c r="C390" s="388"/>
      <c r="D390" s="388"/>
      <c r="E390" s="388"/>
      <c r="F390" s="388"/>
      <c r="G390" s="388"/>
      <c r="H390" s="388"/>
      <c r="I390" s="388"/>
      <c r="J390" s="388"/>
      <c r="K390" s="388"/>
      <c r="L390" s="388"/>
      <c r="M390" s="388"/>
      <c r="N390" s="388"/>
      <c r="O390" s="388"/>
      <c r="P390" s="388"/>
      <c r="Q390" s="388"/>
      <c r="R390" s="388"/>
      <c r="S390" s="388"/>
      <c r="T390" s="388"/>
      <c r="U390" s="388"/>
      <c r="V390" s="388"/>
      <c r="AA390" s="256"/>
    </row>
    <row r="391">
      <c r="A391" s="388"/>
      <c r="B391" s="388"/>
      <c r="C391" s="388"/>
      <c r="D391" s="388"/>
      <c r="E391" s="388"/>
      <c r="F391" s="388"/>
      <c r="G391" s="388"/>
      <c r="H391" s="388"/>
      <c r="I391" s="388"/>
      <c r="J391" s="388"/>
      <c r="K391" s="388"/>
      <c r="L391" s="388"/>
      <c r="M391" s="388"/>
      <c r="N391" s="388"/>
      <c r="O391" s="388"/>
      <c r="P391" s="388"/>
      <c r="Q391" s="388"/>
      <c r="R391" s="388"/>
      <c r="S391" s="388"/>
      <c r="T391" s="388"/>
      <c r="U391" s="388"/>
      <c r="V391" s="388"/>
      <c r="AA391" s="256"/>
    </row>
    <row r="392">
      <c r="A392" s="388"/>
      <c r="B392" s="388"/>
      <c r="C392" s="388"/>
      <c r="D392" s="388"/>
      <c r="E392" s="388"/>
      <c r="F392" s="388"/>
      <c r="G392" s="388"/>
      <c r="H392" s="388"/>
      <c r="I392" s="388"/>
      <c r="J392" s="388"/>
      <c r="K392" s="388"/>
      <c r="L392" s="388"/>
      <c r="M392" s="388"/>
      <c r="N392" s="388"/>
      <c r="O392" s="388"/>
      <c r="P392" s="388"/>
      <c r="Q392" s="388"/>
      <c r="R392" s="388"/>
      <c r="S392" s="388"/>
      <c r="T392" s="388"/>
      <c r="U392" s="388"/>
      <c r="V392" s="388"/>
      <c r="AA392" s="256"/>
    </row>
    <row r="393">
      <c r="A393" s="388"/>
      <c r="B393" s="388"/>
      <c r="C393" s="388"/>
      <c r="D393" s="388"/>
      <c r="E393" s="388"/>
      <c r="F393" s="388"/>
      <c r="G393" s="388"/>
      <c r="H393" s="388"/>
      <c r="I393" s="388"/>
      <c r="J393" s="388"/>
      <c r="K393" s="388"/>
      <c r="L393" s="388"/>
      <c r="M393" s="388"/>
      <c r="N393" s="388"/>
      <c r="O393" s="388"/>
      <c r="P393" s="388"/>
      <c r="Q393" s="388"/>
      <c r="R393" s="388"/>
      <c r="S393" s="388"/>
      <c r="T393" s="388"/>
      <c r="U393" s="388"/>
      <c r="V393" s="388"/>
      <c r="AA393" s="256"/>
    </row>
    <row r="394">
      <c r="A394" s="388"/>
      <c r="B394" s="388"/>
      <c r="C394" s="388"/>
      <c r="D394" s="388"/>
      <c r="E394" s="388"/>
      <c r="F394" s="388"/>
      <c r="G394" s="388"/>
      <c r="H394" s="388"/>
      <c r="I394" s="388"/>
      <c r="J394" s="388"/>
      <c r="K394" s="388"/>
      <c r="L394" s="388"/>
      <c r="M394" s="388"/>
      <c r="N394" s="388"/>
      <c r="O394" s="388"/>
      <c r="P394" s="388"/>
      <c r="Q394" s="388"/>
      <c r="R394" s="388"/>
      <c r="S394" s="388"/>
      <c r="T394" s="388"/>
      <c r="U394" s="388"/>
      <c r="V394" s="388"/>
      <c r="AA394" s="256"/>
    </row>
    <row r="395">
      <c r="A395" s="388"/>
      <c r="B395" s="388"/>
      <c r="C395" s="388"/>
      <c r="D395" s="388"/>
      <c r="E395" s="388"/>
      <c r="F395" s="388"/>
      <c r="G395" s="388"/>
      <c r="H395" s="388"/>
      <c r="I395" s="388"/>
      <c r="J395" s="388"/>
      <c r="K395" s="388"/>
      <c r="L395" s="388"/>
      <c r="M395" s="388"/>
      <c r="N395" s="388"/>
      <c r="O395" s="388"/>
      <c r="P395" s="388"/>
      <c r="Q395" s="388"/>
      <c r="R395" s="388"/>
      <c r="S395" s="388"/>
      <c r="T395" s="388"/>
      <c r="U395" s="388"/>
      <c r="V395" s="388"/>
      <c r="AA395" s="256"/>
    </row>
    <row r="396">
      <c r="A396" s="388"/>
      <c r="B396" s="388"/>
      <c r="C396" s="388"/>
      <c r="D396" s="388"/>
      <c r="E396" s="388"/>
      <c r="F396" s="388"/>
      <c r="G396" s="388"/>
      <c r="H396" s="388"/>
      <c r="I396" s="388"/>
      <c r="J396" s="388"/>
      <c r="K396" s="388"/>
      <c r="L396" s="388"/>
      <c r="M396" s="388"/>
      <c r="N396" s="388"/>
      <c r="O396" s="388"/>
      <c r="P396" s="388"/>
      <c r="Q396" s="388"/>
      <c r="R396" s="388"/>
      <c r="S396" s="388"/>
      <c r="T396" s="388"/>
      <c r="U396" s="388"/>
      <c r="V396" s="388"/>
      <c r="AA396" s="256"/>
    </row>
    <row r="397">
      <c r="A397" s="388"/>
      <c r="B397" s="388"/>
      <c r="C397" s="388"/>
      <c r="D397" s="388"/>
      <c r="E397" s="388"/>
      <c r="F397" s="388"/>
      <c r="G397" s="388"/>
      <c r="H397" s="388"/>
      <c r="I397" s="388"/>
      <c r="J397" s="388"/>
      <c r="K397" s="388"/>
      <c r="L397" s="388"/>
      <c r="M397" s="388"/>
      <c r="N397" s="388"/>
      <c r="O397" s="388"/>
      <c r="P397" s="388"/>
      <c r="Q397" s="388"/>
      <c r="R397" s="388"/>
      <c r="S397" s="388"/>
      <c r="T397" s="388"/>
      <c r="U397" s="388"/>
      <c r="V397" s="388"/>
      <c r="AA397" s="256"/>
    </row>
    <row r="398">
      <c r="A398" s="388"/>
      <c r="B398" s="388"/>
      <c r="C398" s="388"/>
      <c r="D398" s="388"/>
      <c r="E398" s="388"/>
      <c r="F398" s="388"/>
      <c r="G398" s="388"/>
      <c r="H398" s="388"/>
      <c r="I398" s="388"/>
      <c r="J398" s="388"/>
      <c r="K398" s="388"/>
      <c r="L398" s="388"/>
      <c r="M398" s="388"/>
      <c r="N398" s="388"/>
      <c r="O398" s="388"/>
      <c r="P398" s="388"/>
      <c r="Q398" s="388"/>
      <c r="R398" s="388"/>
      <c r="S398" s="388"/>
      <c r="T398" s="388"/>
      <c r="U398" s="388"/>
      <c r="V398" s="388"/>
      <c r="AA398" s="256"/>
    </row>
    <row r="399">
      <c r="A399" s="388"/>
      <c r="B399" s="388"/>
      <c r="C399" s="388"/>
      <c r="D399" s="388"/>
      <c r="E399" s="388"/>
      <c r="F399" s="388"/>
      <c r="G399" s="388"/>
      <c r="H399" s="388"/>
      <c r="I399" s="388"/>
      <c r="J399" s="388"/>
      <c r="K399" s="388"/>
      <c r="L399" s="388"/>
      <c r="M399" s="388"/>
      <c r="N399" s="388"/>
      <c r="O399" s="388"/>
      <c r="P399" s="388"/>
      <c r="Q399" s="388"/>
      <c r="R399" s="388"/>
      <c r="S399" s="388"/>
      <c r="T399" s="388"/>
      <c r="U399" s="388"/>
      <c r="V399" s="388"/>
      <c r="AA399" s="256"/>
    </row>
    <row r="400">
      <c r="A400" s="388"/>
      <c r="B400" s="388"/>
      <c r="C400" s="388"/>
      <c r="D400" s="388"/>
      <c r="E400" s="388"/>
      <c r="F400" s="388"/>
      <c r="G400" s="388"/>
      <c r="H400" s="388"/>
      <c r="I400" s="388"/>
      <c r="J400" s="388"/>
      <c r="K400" s="388"/>
      <c r="L400" s="388"/>
      <c r="M400" s="388"/>
      <c r="N400" s="388"/>
      <c r="O400" s="388"/>
      <c r="P400" s="388"/>
      <c r="Q400" s="388"/>
      <c r="R400" s="388"/>
      <c r="S400" s="388"/>
      <c r="T400" s="388"/>
      <c r="U400" s="388"/>
      <c r="V400" s="388"/>
      <c r="AA400" s="256"/>
    </row>
    <row r="401">
      <c r="A401" s="388"/>
      <c r="B401" s="388"/>
      <c r="C401" s="388"/>
      <c r="D401" s="388"/>
      <c r="E401" s="388"/>
      <c r="F401" s="388"/>
      <c r="G401" s="388"/>
      <c r="H401" s="388"/>
      <c r="I401" s="388"/>
      <c r="J401" s="388"/>
      <c r="K401" s="388"/>
      <c r="L401" s="388"/>
      <c r="M401" s="388"/>
      <c r="N401" s="388"/>
      <c r="O401" s="388"/>
      <c r="P401" s="388"/>
      <c r="Q401" s="388"/>
      <c r="R401" s="388"/>
      <c r="S401" s="388"/>
      <c r="T401" s="388"/>
      <c r="U401" s="388"/>
      <c r="V401" s="388"/>
      <c r="AA401" s="256"/>
    </row>
    <row r="402">
      <c r="A402" s="388"/>
      <c r="B402" s="388"/>
      <c r="C402" s="388"/>
      <c r="D402" s="388"/>
      <c r="E402" s="388"/>
      <c r="F402" s="388"/>
      <c r="G402" s="388"/>
      <c r="H402" s="388"/>
      <c r="I402" s="388"/>
      <c r="J402" s="388"/>
      <c r="K402" s="388"/>
      <c r="L402" s="388"/>
      <c r="M402" s="388"/>
      <c r="N402" s="388"/>
      <c r="O402" s="388"/>
      <c r="P402" s="388"/>
      <c r="Q402" s="388"/>
      <c r="R402" s="388"/>
      <c r="S402" s="388"/>
      <c r="T402" s="388"/>
      <c r="U402" s="388"/>
      <c r="V402" s="388"/>
      <c r="AA402" s="256"/>
    </row>
    <row r="403">
      <c r="A403" s="388"/>
      <c r="B403" s="388"/>
      <c r="C403" s="388"/>
      <c r="D403" s="388"/>
      <c r="E403" s="388"/>
      <c r="F403" s="388"/>
      <c r="G403" s="388"/>
      <c r="H403" s="388"/>
      <c r="I403" s="388"/>
      <c r="J403" s="388"/>
      <c r="K403" s="388"/>
      <c r="L403" s="388"/>
      <c r="M403" s="388"/>
      <c r="N403" s="388"/>
      <c r="O403" s="388"/>
      <c r="P403" s="388"/>
      <c r="Q403" s="388"/>
      <c r="R403" s="388"/>
      <c r="S403" s="388"/>
      <c r="T403" s="388"/>
      <c r="U403" s="388"/>
      <c r="V403" s="388"/>
      <c r="AA403" s="256"/>
    </row>
    <row r="404">
      <c r="A404" s="388"/>
      <c r="B404" s="388"/>
      <c r="C404" s="388"/>
      <c r="D404" s="388"/>
      <c r="E404" s="388"/>
      <c r="F404" s="388"/>
      <c r="G404" s="388"/>
      <c r="H404" s="388"/>
      <c r="I404" s="388"/>
      <c r="J404" s="388"/>
      <c r="K404" s="388"/>
      <c r="L404" s="388"/>
      <c r="M404" s="388"/>
      <c r="N404" s="388"/>
      <c r="O404" s="388"/>
      <c r="P404" s="388"/>
      <c r="Q404" s="388"/>
      <c r="R404" s="388"/>
      <c r="S404" s="388"/>
      <c r="T404" s="388"/>
      <c r="U404" s="388"/>
      <c r="V404" s="388"/>
      <c r="AA404" s="256"/>
    </row>
    <row r="405">
      <c r="A405" s="388"/>
      <c r="B405" s="388"/>
      <c r="C405" s="388"/>
      <c r="D405" s="388"/>
      <c r="E405" s="388"/>
      <c r="F405" s="388"/>
      <c r="G405" s="388"/>
      <c r="H405" s="388"/>
      <c r="I405" s="388"/>
      <c r="J405" s="388"/>
      <c r="K405" s="388"/>
      <c r="L405" s="388"/>
      <c r="M405" s="388"/>
      <c r="N405" s="388"/>
      <c r="O405" s="388"/>
      <c r="P405" s="388"/>
      <c r="Q405" s="388"/>
      <c r="R405" s="388"/>
      <c r="S405" s="388"/>
      <c r="T405" s="388"/>
      <c r="U405" s="388"/>
      <c r="V405" s="388"/>
      <c r="AA405" s="256"/>
    </row>
    <row r="406">
      <c r="A406" s="388"/>
      <c r="B406" s="388"/>
      <c r="C406" s="388"/>
      <c r="D406" s="388"/>
      <c r="E406" s="388"/>
      <c r="F406" s="388"/>
      <c r="G406" s="388"/>
      <c r="H406" s="388"/>
      <c r="I406" s="388"/>
      <c r="J406" s="388"/>
      <c r="K406" s="388"/>
      <c r="L406" s="388"/>
      <c r="M406" s="388"/>
      <c r="N406" s="388"/>
      <c r="O406" s="388"/>
      <c r="P406" s="388"/>
      <c r="Q406" s="388"/>
      <c r="R406" s="388"/>
      <c r="S406" s="388"/>
      <c r="T406" s="388"/>
      <c r="U406" s="388"/>
      <c r="V406" s="388"/>
      <c r="AA406" s="256"/>
    </row>
    <row r="407">
      <c r="A407" s="388"/>
      <c r="B407" s="388"/>
      <c r="C407" s="388"/>
      <c r="D407" s="388"/>
      <c r="E407" s="388"/>
      <c r="F407" s="388"/>
      <c r="G407" s="388"/>
      <c r="H407" s="388"/>
      <c r="I407" s="388"/>
      <c r="J407" s="388"/>
      <c r="K407" s="388"/>
      <c r="L407" s="388"/>
      <c r="M407" s="388"/>
      <c r="N407" s="388"/>
      <c r="O407" s="388"/>
      <c r="P407" s="388"/>
      <c r="Q407" s="388"/>
      <c r="R407" s="388"/>
      <c r="S407" s="388"/>
      <c r="T407" s="388"/>
      <c r="U407" s="388"/>
      <c r="V407" s="388"/>
      <c r="AA407" s="256"/>
    </row>
    <row r="408">
      <c r="A408" s="388"/>
      <c r="B408" s="388"/>
      <c r="C408" s="388"/>
      <c r="D408" s="388"/>
      <c r="E408" s="388"/>
      <c r="F408" s="388"/>
      <c r="G408" s="388"/>
      <c r="H408" s="388"/>
      <c r="I408" s="388"/>
      <c r="J408" s="388"/>
      <c r="K408" s="388"/>
      <c r="L408" s="388"/>
      <c r="M408" s="388"/>
      <c r="N408" s="388"/>
      <c r="O408" s="388"/>
      <c r="P408" s="388"/>
      <c r="Q408" s="388"/>
      <c r="R408" s="388"/>
      <c r="S408" s="388"/>
      <c r="T408" s="388"/>
      <c r="U408" s="388"/>
      <c r="V408" s="388"/>
      <c r="AA408" s="256"/>
    </row>
    <row r="409">
      <c r="A409" s="388"/>
      <c r="B409" s="388"/>
      <c r="C409" s="388"/>
      <c r="D409" s="388"/>
      <c r="E409" s="388"/>
      <c r="F409" s="388"/>
      <c r="G409" s="388"/>
      <c r="H409" s="388"/>
      <c r="I409" s="388"/>
      <c r="J409" s="388"/>
      <c r="K409" s="388"/>
      <c r="L409" s="388"/>
      <c r="M409" s="388"/>
      <c r="N409" s="388"/>
      <c r="O409" s="388"/>
      <c r="P409" s="388"/>
      <c r="Q409" s="388"/>
      <c r="R409" s="388"/>
      <c r="S409" s="388"/>
      <c r="T409" s="388"/>
      <c r="U409" s="388"/>
      <c r="V409" s="388"/>
      <c r="AA409" s="256"/>
    </row>
    <row r="410">
      <c r="A410" s="388"/>
      <c r="B410" s="388"/>
      <c r="C410" s="388"/>
      <c r="D410" s="388"/>
      <c r="E410" s="388"/>
      <c r="F410" s="388"/>
      <c r="G410" s="388"/>
      <c r="H410" s="388"/>
      <c r="I410" s="388"/>
      <c r="J410" s="388"/>
      <c r="K410" s="388"/>
      <c r="L410" s="388"/>
      <c r="M410" s="388"/>
      <c r="N410" s="388"/>
      <c r="O410" s="388"/>
      <c r="P410" s="388"/>
      <c r="Q410" s="388"/>
      <c r="R410" s="388"/>
      <c r="S410" s="388"/>
      <c r="T410" s="388"/>
      <c r="U410" s="388"/>
      <c r="V410" s="388"/>
      <c r="AA410" s="256"/>
    </row>
    <row r="411">
      <c r="A411" s="388"/>
      <c r="B411" s="388"/>
      <c r="C411" s="388"/>
      <c r="D411" s="388"/>
      <c r="E411" s="388"/>
      <c r="F411" s="388"/>
      <c r="G411" s="388"/>
      <c r="H411" s="388"/>
      <c r="I411" s="388"/>
      <c r="J411" s="388"/>
      <c r="K411" s="388"/>
      <c r="L411" s="388"/>
      <c r="M411" s="388"/>
      <c r="N411" s="388"/>
      <c r="O411" s="388"/>
      <c r="P411" s="388"/>
      <c r="Q411" s="388"/>
      <c r="R411" s="388"/>
      <c r="S411" s="388"/>
      <c r="T411" s="388"/>
      <c r="U411" s="388"/>
      <c r="V411" s="388"/>
      <c r="AA411" s="256"/>
    </row>
    <row r="412">
      <c r="A412" s="388"/>
      <c r="B412" s="388"/>
      <c r="C412" s="388"/>
      <c r="D412" s="388"/>
      <c r="E412" s="388"/>
      <c r="F412" s="388"/>
      <c r="G412" s="388"/>
      <c r="H412" s="388"/>
      <c r="I412" s="388"/>
      <c r="J412" s="388"/>
      <c r="K412" s="388"/>
      <c r="L412" s="388"/>
      <c r="M412" s="388"/>
      <c r="N412" s="388"/>
      <c r="O412" s="388"/>
      <c r="P412" s="388"/>
      <c r="Q412" s="388"/>
      <c r="R412" s="388"/>
      <c r="S412" s="388"/>
      <c r="T412" s="388"/>
      <c r="U412" s="388"/>
      <c r="V412" s="388"/>
      <c r="AA412" s="256"/>
    </row>
    <row r="413">
      <c r="A413" s="388"/>
      <c r="B413" s="388"/>
      <c r="C413" s="388"/>
      <c r="D413" s="388"/>
      <c r="E413" s="388"/>
      <c r="F413" s="388"/>
      <c r="G413" s="388"/>
      <c r="H413" s="388"/>
      <c r="I413" s="388"/>
      <c r="J413" s="388"/>
      <c r="K413" s="388"/>
      <c r="L413" s="388"/>
      <c r="M413" s="388"/>
      <c r="N413" s="388"/>
      <c r="O413" s="388"/>
      <c r="P413" s="388"/>
      <c r="Q413" s="388"/>
      <c r="R413" s="388"/>
      <c r="S413" s="388"/>
      <c r="T413" s="388"/>
      <c r="U413" s="388"/>
      <c r="V413" s="388"/>
      <c r="AA413" s="256"/>
    </row>
    <row r="414">
      <c r="A414" s="388"/>
      <c r="B414" s="388"/>
      <c r="C414" s="388"/>
      <c r="D414" s="388"/>
      <c r="E414" s="388"/>
      <c r="F414" s="388"/>
      <c r="G414" s="388"/>
      <c r="H414" s="388"/>
      <c r="I414" s="388"/>
      <c r="J414" s="388"/>
      <c r="K414" s="388"/>
      <c r="L414" s="388"/>
      <c r="M414" s="388"/>
      <c r="N414" s="388"/>
      <c r="O414" s="388"/>
      <c r="P414" s="388"/>
      <c r="Q414" s="388"/>
      <c r="R414" s="388"/>
      <c r="S414" s="388"/>
      <c r="T414" s="388"/>
      <c r="U414" s="388"/>
      <c r="V414" s="388"/>
      <c r="AA414" s="256"/>
    </row>
    <row r="415">
      <c r="A415" s="388"/>
      <c r="B415" s="388"/>
      <c r="C415" s="388"/>
      <c r="D415" s="388"/>
      <c r="E415" s="388"/>
      <c r="F415" s="388"/>
      <c r="G415" s="388"/>
      <c r="H415" s="388"/>
      <c r="I415" s="388"/>
      <c r="J415" s="388"/>
      <c r="K415" s="388"/>
      <c r="L415" s="388"/>
      <c r="M415" s="388"/>
      <c r="N415" s="388"/>
      <c r="O415" s="388"/>
      <c r="P415" s="388"/>
      <c r="Q415" s="388"/>
      <c r="R415" s="388"/>
      <c r="S415" s="388"/>
      <c r="T415" s="388"/>
      <c r="U415" s="388"/>
      <c r="V415" s="388"/>
      <c r="AA415" s="256"/>
    </row>
    <row r="416">
      <c r="A416" s="388"/>
      <c r="B416" s="388"/>
      <c r="C416" s="388"/>
      <c r="D416" s="388"/>
      <c r="E416" s="388"/>
      <c r="F416" s="388"/>
      <c r="G416" s="388"/>
      <c r="H416" s="388"/>
      <c r="I416" s="388"/>
      <c r="J416" s="388"/>
      <c r="K416" s="388"/>
      <c r="L416" s="388"/>
      <c r="M416" s="388"/>
      <c r="N416" s="388"/>
      <c r="O416" s="388"/>
      <c r="P416" s="388"/>
      <c r="Q416" s="388"/>
      <c r="R416" s="388"/>
      <c r="S416" s="388"/>
      <c r="T416" s="388"/>
      <c r="U416" s="388"/>
      <c r="V416" s="388"/>
      <c r="AA416" s="256"/>
    </row>
    <row r="417">
      <c r="A417" s="388"/>
      <c r="B417" s="388"/>
      <c r="C417" s="388"/>
      <c r="D417" s="388"/>
      <c r="E417" s="388"/>
      <c r="F417" s="388"/>
      <c r="G417" s="388"/>
      <c r="H417" s="388"/>
      <c r="I417" s="388"/>
      <c r="J417" s="388"/>
      <c r="K417" s="388"/>
      <c r="L417" s="388"/>
      <c r="M417" s="388"/>
      <c r="N417" s="388"/>
      <c r="O417" s="388"/>
      <c r="P417" s="388"/>
      <c r="Q417" s="388"/>
      <c r="R417" s="388"/>
      <c r="S417" s="388"/>
      <c r="T417" s="388"/>
      <c r="U417" s="388"/>
      <c r="V417" s="388"/>
      <c r="AA417" s="256"/>
    </row>
    <row r="418">
      <c r="A418" s="388"/>
      <c r="B418" s="388"/>
      <c r="C418" s="388"/>
      <c r="D418" s="388"/>
      <c r="E418" s="388"/>
      <c r="F418" s="388"/>
      <c r="G418" s="388"/>
      <c r="H418" s="388"/>
      <c r="I418" s="388"/>
      <c r="J418" s="388"/>
      <c r="K418" s="388"/>
      <c r="L418" s="388"/>
      <c r="M418" s="388"/>
      <c r="N418" s="388"/>
      <c r="O418" s="388"/>
      <c r="P418" s="388"/>
      <c r="Q418" s="388"/>
      <c r="R418" s="388"/>
      <c r="S418" s="388"/>
      <c r="T418" s="388"/>
      <c r="U418" s="388"/>
      <c r="V418" s="388"/>
      <c r="AA418" s="256"/>
    </row>
    <row r="419">
      <c r="A419" s="388"/>
      <c r="B419" s="388"/>
      <c r="C419" s="388"/>
      <c r="D419" s="388"/>
      <c r="E419" s="388"/>
      <c r="F419" s="388"/>
      <c r="G419" s="388"/>
      <c r="H419" s="388"/>
      <c r="I419" s="388"/>
      <c r="J419" s="388"/>
      <c r="K419" s="388"/>
      <c r="L419" s="388"/>
      <c r="M419" s="388"/>
      <c r="N419" s="388"/>
      <c r="O419" s="388"/>
      <c r="P419" s="388"/>
      <c r="Q419" s="388"/>
      <c r="R419" s="388"/>
      <c r="S419" s="388"/>
      <c r="T419" s="388"/>
      <c r="U419" s="388"/>
      <c r="V419" s="388"/>
      <c r="AA419" s="256"/>
    </row>
    <row r="420">
      <c r="A420" s="388"/>
      <c r="B420" s="388"/>
      <c r="C420" s="388"/>
      <c r="D420" s="388"/>
      <c r="E420" s="388"/>
      <c r="F420" s="388"/>
      <c r="G420" s="388"/>
      <c r="H420" s="388"/>
      <c r="I420" s="388"/>
      <c r="J420" s="388"/>
      <c r="K420" s="388"/>
      <c r="L420" s="388"/>
      <c r="M420" s="388"/>
      <c r="N420" s="388"/>
      <c r="O420" s="388"/>
      <c r="P420" s="388"/>
      <c r="Q420" s="388"/>
      <c r="R420" s="388"/>
      <c r="S420" s="388"/>
      <c r="T420" s="388"/>
      <c r="U420" s="388"/>
      <c r="V420" s="388"/>
      <c r="AA420" s="256"/>
    </row>
    <row r="421">
      <c r="A421" s="388"/>
      <c r="B421" s="388"/>
      <c r="C421" s="388"/>
      <c r="D421" s="388"/>
      <c r="E421" s="388"/>
      <c r="F421" s="388"/>
      <c r="G421" s="388"/>
      <c r="H421" s="388"/>
      <c r="I421" s="388"/>
      <c r="J421" s="388"/>
      <c r="K421" s="388"/>
      <c r="L421" s="388"/>
      <c r="M421" s="388"/>
      <c r="N421" s="388"/>
      <c r="O421" s="388"/>
      <c r="P421" s="388"/>
      <c r="Q421" s="388"/>
      <c r="R421" s="388"/>
      <c r="S421" s="388"/>
      <c r="T421" s="388"/>
      <c r="U421" s="388"/>
      <c r="V421" s="388"/>
      <c r="AA421" s="256"/>
    </row>
    <row r="422">
      <c r="A422" s="388"/>
      <c r="B422" s="388"/>
      <c r="C422" s="388"/>
      <c r="D422" s="388"/>
      <c r="E422" s="388"/>
      <c r="F422" s="388"/>
      <c r="G422" s="388"/>
      <c r="H422" s="388"/>
      <c r="I422" s="388"/>
      <c r="J422" s="388"/>
      <c r="K422" s="388"/>
      <c r="L422" s="388"/>
      <c r="M422" s="388"/>
      <c r="N422" s="388"/>
      <c r="O422" s="388"/>
      <c r="P422" s="388"/>
      <c r="Q422" s="388"/>
      <c r="R422" s="388"/>
      <c r="S422" s="388"/>
      <c r="T422" s="388"/>
      <c r="U422" s="388"/>
      <c r="V422" s="388"/>
      <c r="AA422" s="256"/>
    </row>
    <row r="423">
      <c r="A423" s="388"/>
      <c r="B423" s="388"/>
      <c r="C423" s="388"/>
      <c r="D423" s="388"/>
      <c r="E423" s="388"/>
      <c r="F423" s="388"/>
      <c r="G423" s="388"/>
      <c r="H423" s="388"/>
      <c r="I423" s="388"/>
      <c r="J423" s="388"/>
      <c r="K423" s="388"/>
      <c r="L423" s="388"/>
      <c r="M423" s="388"/>
      <c r="N423" s="388"/>
      <c r="O423" s="388"/>
      <c r="P423" s="388"/>
      <c r="Q423" s="388"/>
      <c r="R423" s="388"/>
      <c r="S423" s="388"/>
      <c r="T423" s="388"/>
      <c r="U423" s="388"/>
      <c r="V423" s="388"/>
      <c r="AA423" s="256"/>
    </row>
    <row r="424">
      <c r="A424" s="388"/>
      <c r="B424" s="388"/>
      <c r="C424" s="388"/>
      <c r="D424" s="388"/>
      <c r="E424" s="388"/>
      <c r="F424" s="388"/>
      <c r="G424" s="388"/>
      <c r="H424" s="388"/>
      <c r="I424" s="388"/>
      <c r="J424" s="388"/>
      <c r="K424" s="388"/>
      <c r="L424" s="388"/>
      <c r="M424" s="388"/>
      <c r="N424" s="388"/>
      <c r="O424" s="388"/>
      <c r="P424" s="388"/>
      <c r="Q424" s="388"/>
      <c r="R424" s="388"/>
      <c r="S424" s="388"/>
      <c r="T424" s="388"/>
      <c r="U424" s="388"/>
      <c r="V424" s="388"/>
      <c r="AA424" s="256"/>
    </row>
    <row r="425">
      <c r="A425" s="388"/>
      <c r="B425" s="388"/>
      <c r="C425" s="388"/>
      <c r="D425" s="388"/>
      <c r="E425" s="388"/>
      <c r="F425" s="388"/>
      <c r="G425" s="388"/>
      <c r="H425" s="388"/>
      <c r="I425" s="388"/>
      <c r="J425" s="388"/>
      <c r="K425" s="388"/>
      <c r="L425" s="388"/>
      <c r="M425" s="388"/>
      <c r="N425" s="388"/>
      <c r="O425" s="388"/>
      <c r="P425" s="388"/>
      <c r="Q425" s="388"/>
      <c r="R425" s="388"/>
      <c r="S425" s="388"/>
      <c r="T425" s="388"/>
      <c r="U425" s="388"/>
      <c r="V425" s="388"/>
      <c r="AA425" s="256"/>
    </row>
    <row r="426">
      <c r="A426" s="388"/>
      <c r="B426" s="388"/>
      <c r="C426" s="388"/>
      <c r="D426" s="388"/>
      <c r="E426" s="388"/>
      <c r="F426" s="388"/>
      <c r="G426" s="388"/>
      <c r="H426" s="388"/>
      <c r="I426" s="388"/>
      <c r="J426" s="388"/>
      <c r="K426" s="388"/>
      <c r="L426" s="388"/>
      <c r="M426" s="388"/>
      <c r="N426" s="388"/>
      <c r="O426" s="388"/>
      <c r="P426" s="388"/>
      <c r="Q426" s="388"/>
      <c r="R426" s="388"/>
      <c r="S426" s="388"/>
      <c r="T426" s="388"/>
      <c r="U426" s="388"/>
      <c r="V426" s="388"/>
      <c r="AA426" s="256"/>
    </row>
    <row r="427">
      <c r="A427" s="388"/>
      <c r="B427" s="388"/>
      <c r="C427" s="388"/>
      <c r="D427" s="388"/>
      <c r="E427" s="388"/>
      <c r="F427" s="388"/>
      <c r="G427" s="388"/>
      <c r="H427" s="388"/>
      <c r="I427" s="388"/>
      <c r="J427" s="388"/>
      <c r="K427" s="388"/>
      <c r="L427" s="388"/>
      <c r="M427" s="388"/>
      <c r="N427" s="388"/>
      <c r="O427" s="388"/>
      <c r="P427" s="388"/>
      <c r="Q427" s="388"/>
      <c r="R427" s="388"/>
      <c r="S427" s="388"/>
      <c r="T427" s="388"/>
      <c r="U427" s="388"/>
      <c r="V427" s="388"/>
      <c r="AA427" s="256"/>
    </row>
    <row r="428">
      <c r="A428" s="388"/>
      <c r="B428" s="388"/>
      <c r="C428" s="388"/>
      <c r="D428" s="388"/>
      <c r="E428" s="388"/>
      <c r="F428" s="388"/>
      <c r="G428" s="388"/>
      <c r="H428" s="388"/>
      <c r="I428" s="388"/>
      <c r="J428" s="388"/>
      <c r="K428" s="388"/>
      <c r="L428" s="388"/>
      <c r="M428" s="388"/>
      <c r="N428" s="388"/>
      <c r="O428" s="388"/>
      <c r="P428" s="388"/>
      <c r="Q428" s="388"/>
      <c r="R428" s="388"/>
      <c r="S428" s="388"/>
      <c r="T428" s="388"/>
      <c r="U428" s="388"/>
      <c r="V428" s="388"/>
      <c r="AA428" s="256"/>
    </row>
    <row r="429">
      <c r="A429" s="388"/>
      <c r="B429" s="388"/>
      <c r="C429" s="388"/>
      <c r="D429" s="388"/>
      <c r="E429" s="388"/>
      <c r="F429" s="388"/>
      <c r="G429" s="388"/>
      <c r="H429" s="388"/>
      <c r="I429" s="388"/>
      <c r="J429" s="388"/>
      <c r="K429" s="388"/>
      <c r="L429" s="388"/>
      <c r="M429" s="388"/>
      <c r="N429" s="388"/>
      <c r="O429" s="388"/>
      <c r="P429" s="388"/>
      <c r="Q429" s="388"/>
      <c r="R429" s="388"/>
      <c r="S429" s="388"/>
      <c r="T429" s="388"/>
      <c r="U429" s="388"/>
      <c r="V429" s="388"/>
      <c r="AA429" s="256"/>
    </row>
    <row r="430">
      <c r="A430" s="388"/>
      <c r="B430" s="388"/>
      <c r="C430" s="388"/>
      <c r="D430" s="388"/>
      <c r="E430" s="388"/>
      <c r="F430" s="388"/>
      <c r="G430" s="388"/>
      <c r="H430" s="388"/>
      <c r="I430" s="388"/>
      <c r="J430" s="388"/>
      <c r="K430" s="388"/>
      <c r="L430" s="388"/>
      <c r="M430" s="388"/>
      <c r="N430" s="388"/>
      <c r="O430" s="388"/>
      <c r="P430" s="388"/>
      <c r="Q430" s="388"/>
      <c r="R430" s="388"/>
      <c r="S430" s="388"/>
      <c r="T430" s="388"/>
      <c r="U430" s="388"/>
      <c r="V430" s="388"/>
      <c r="AA430" s="256"/>
    </row>
    <row r="431">
      <c r="A431" s="388"/>
      <c r="B431" s="388"/>
      <c r="C431" s="388"/>
      <c r="D431" s="388"/>
      <c r="E431" s="388"/>
      <c r="F431" s="388"/>
      <c r="G431" s="388"/>
      <c r="H431" s="388"/>
      <c r="I431" s="388"/>
      <c r="J431" s="388"/>
      <c r="K431" s="388"/>
      <c r="L431" s="388"/>
      <c r="M431" s="388"/>
      <c r="N431" s="388"/>
      <c r="O431" s="388"/>
      <c r="P431" s="388"/>
      <c r="Q431" s="388"/>
      <c r="R431" s="388"/>
      <c r="S431" s="388"/>
      <c r="T431" s="388"/>
      <c r="U431" s="388"/>
      <c r="V431" s="388"/>
      <c r="AA431" s="256"/>
    </row>
    <row r="432">
      <c r="A432" s="388"/>
      <c r="B432" s="388"/>
      <c r="C432" s="388"/>
      <c r="D432" s="388"/>
      <c r="E432" s="388"/>
      <c r="F432" s="388"/>
      <c r="G432" s="388"/>
      <c r="H432" s="388"/>
      <c r="I432" s="388"/>
      <c r="J432" s="388"/>
      <c r="K432" s="388"/>
      <c r="L432" s="388"/>
      <c r="M432" s="388"/>
      <c r="N432" s="388"/>
      <c r="O432" s="388"/>
      <c r="P432" s="388"/>
      <c r="Q432" s="388"/>
      <c r="R432" s="388"/>
      <c r="S432" s="388"/>
      <c r="T432" s="388"/>
      <c r="U432" s="388"/>
      <c r="V432" s="388"/>
      <c r="AA432" s="256"/>
    </row>
    <row r="433">
      <c r="A433" s="388"/>
      <c r="B433" s="388"/>
      <c r="C433" s="388"/>
      <c r="D433" s="388"/>
      <c r="E433" s="388"/>
      <c r="F433" s="388"/>
      <c r="G433" s="388"/>
      <c r="H433" s="388"/>
      <c r="I433" s="388"/>
      <c r="J433" s="388"/>
      <c r="K433" s="388"/>
      <c r="L433" s="388"/>
      <c r="M433" s="388"/>
      <c r="N433" s="388"/>
      <c r="O433" s="388"/>
      <c r="P433" s="388"/>
      <c r="Q433" s="388"/>
      <c r="R433" s="388"/>
      <c r="S433" s="388"/>
      <c r="T433" s="388"/>
      <c r="U433" s="388"/>
      <c r="V433" s="388"/>
      <c r="AA433" s="256"/>
    </row>
    <row r="434">
      <c r="A434" s="388"/>
      <c r="B434" s="388"/>
      <c r="C434" s="388"/>
      <c r="D434" s="388"/>
      <c r="E434" s="388"/>
      <c r="F434" s="388"/>
      <c r="G434" s="388"/>
      <c r="H434" s="388"/>
      <c r="I434" s="388"/>
      <c r="J434" s="388"/>
      <c r="K434" s="388"/>
      <c r="L434" s="388"/>
      <c r="M434" s="388"/>
      <c r="N434" s="388"/>
      <c r="O434" s="388"/>
      <c r="P434" s="388"/>
      <c r="Q434" s="388"/>
      <c r="R434" s="388"/>
      <c r="S434" s="388"/>
      <c r="T434" s="388"/>
      <c r="U434" s="388"/>
      <c r="V434" s="388"/>
      <c r="AA434" s="256"/>
    </row>
    <row r="435">
      <c r="A435" s="388"/>
      <c r="B435" s="388"/>
      <c r="C435" s="388"/>
      <c r="D435" s="388"/>
      <c r="E435" s="388"/>
      <c r="F435" s="388"/>
      <c r="G435" s="388"/>
      <c r="H435" s="388"/>
      <c r="I435" s="388"/>
      <c r="J435" s="388"/>
      <c r="K435" s="388"/>
      <c r="L435" s="388"/>
      <c r="M435" s="388"/>
      <c r="N435" s="388"/>
      <c r="O435" s="388"/>
      <c r="P435" s="388"/>
      <c r="Q435" s="388"/>
      <c r="R435" s="388"/>
      <c r="S435" s="388"/>
      <c r="T435" s="388"/>
      <c r="U435" s="388"/>
      <c r="V435" s="388"/>
      <c r="AA435" s="256"/>
    </row>
    <row r="436">
      <c r="A436" s="388"/>
      <c r="B436" s="388"/>
      <c r="C436" s="388"/>
      <c r="D436" s="388"/>
      <c r="E436" s="388"/>
      <c r="F436" s="388"/>
      <c r="G436" s="388"/>
      <c r="H436" s="388"/>
      <c r="I436" s="388"/>
      <c r="J436" s="388"/>
      <c r="K436" s="388"/>
      <c r="L436" s="388"/>
      <c r="M436" s="388"/>
      <c r="N436" s="388"/>
      <c r="O436" s="388"/>
      <c r="P436" s="388"/>
      <c r="Q436" s="388"/>
      <c r="R436" s="388"/>
      <c r="S436" s="388"/>
      <c r="T436" s="388"/>
      <c r="U436" s="388"/>
      <c r="V436" s="388"/>
      <c r="AA436" s="256"/>
    </row>
    <row r="437">
      <c r="A437" s="388"/>
      <c r="B437" s="388"/>
      <c r="C437" s="388"/>
      <c r="D437" s="388"/>
      <c r="E437" s="388"/>
      <c r="F437" s="388"/>
      <c r="G437" s="388"/>
      <c r="H437" s="388"/>
      <c r="I437" s="388"/>
      <c r="J437" s="388"/>
      <c r="K437" s="388"/>
      <c r="L437" s="388"/>
      <c r="M437" s="388"/>
      <c r="N437" s="388"/>
      <c r="O437" s="388"/>
      <c r="P437" s="388"/>
      <c r="Q437" s="388"/>
      <c r="R437" s="388"/>
      <c r="S437" s="388"/>
      <c r="T437" s="388"/>
      <c r="U437" s="388"/>
      <c r="V437" s="388"/>
      <c r="AA437" s="256"/>
    </row>
    <row r="438">
      <c r="A438" s="388"/>
      <c r="B438" s="388"/>
      <c r="C438" s="388"/>
      <c r="D438" s="388"/>
      <c r="E438" s="388"/>
      <c r="F438" s="388"/>
      <c r="G438" s="388"/>
      <c r="H438" s="388"/>
      <c r="I438" s="388"/>
      <c r="J438" s="388"/>
      <c r="K438" s="388"/>
      <c r="L438" s="388"/>
      <c r="M438" s="388"/>
      <c r="N438" s="388"/>
      <c r="O438" s="388"/>
      <c r="P438" s="388"/>
      <c r="Q438" s="388"/>
      <c r="R438" s="388"/>
      <c r="S438" s="388"/>
      <c r="T438" s="388"/>
      <c r="U438" s="388"/>
      <c r="V438" s="388"/>
      <c r="AA438" s="256"/>
    </row>
    <row r="439">
      <c r="A439" s="388"/>
      <c r="B439" s="388"/>
      <c r="C439" s="388"/>
      <c r="D439" s="388"/>
      <c r="E439" s="388"/>
      <c r="F439" s="388"/>
      <c r="G439" s="388"/>
      <c r="H439" s="388"/>
      <c r="I439" s="388"/>
      <c r="J439" s="388"/>
      <c r="K439" s="388"/>
      <c r="L439" s="388"/>
      <c r="M439" s="388"/>
      <c r="N439" s="388"/>
      <c r="O439" s="388"/>
      <c r="P439" s="388"/>
      <c r="Q439" s="388"/>
      <c r="R439" s="388"/>
      <c r="S439" s="388"/>
      <c r="T439" s="388"/>
      <c r="U439" s="388"/>
      <c r="V439" s="388"/>
      <c r="AA439" s="256"/>
    </row>
    <row r="440">
      <c r="A440" s="388"/>
      <c r="B440" s="388"/>
      <c r="C440" s="388"/>
      <c r="D440" s="388"/>
      <c r="E440" s="388"/>
      <c r="F440" s="388"/>
      <c r="G440" s="388"/>
      <c r="H440" s="388"/>
      <c r="I440" s="388"/>
      <c r="J440" s="388"/>
      <c r="K440" s="388"/>
      <c r="L440" s="388"/>
      <c r="M440" s="388"/>
      <c r="N440" s="388"/>
      <c r="O440" s="388"/>
      <c r="P440" s="388"/>
      <c r="Q440" s="388"/>
      <c r="R440" s="388"/>
      <c r="S440" s="388"/>
      <c r="T440" s="388"/>
      <c r="U440" s="388"/>
      <c r="V440" s="388"/>
      <c r="AA440" s="256"/>
    </row>
    <row r="441">
      <c r="A441" s="388"/>
      <c r="B441" s="388"/>
      <c r="C441" s="388"/>
      <c r="D441" s="388"/>
      <c r="E441" s="388"/>
      <c r="F441" s="388"/>
      <c r="G441" s="388"/>
      <c r="H441" s="388"/>
      <c r="I441" s="388"/>
      <c r="J441" s="388"/>
      <c r="K441" s="388"/>
      <c r="L441" s="388"/>
      <c r="M441" s="388"/>
      <c r="N441" s="388"/>
      <c r="O441" s="388"/>
      <c r="P441" s="388"/>
      <c r="Q441" s="388"/>
      <c r="R441" s="388"/>
      <c r="S441" s="388"/>
      <c r="T441" s="388"/>
      <c r="U441" s="388"/>
      <c r="V441" s="388"/>
      <c r="AA441" s="256"/>
    </row>
    <row r="442">
      <c r="A442" s="388"/>
      <c r="B442" s="388"/>
      <c r="C442" s="388"/>
      <c r="D442" s="388"/>
      <c r="E442" s="388"/>
      <c r="F442" s="388"/>
      <c r="G442" s="388"/>
      <c r="H442" s="388"/>
      <c r="I442" s="388"/>
      <c r="J442" s="388"/>
      <c r="K442" s="388"/>
      <c r="L442" s="388"/>
      <c r="M442" s="388"/>
      <c r="N442" s="388"/>
      <c r="O442" s="388"/>
      <c r="P442" s="388"/>
      <c r="Q442" s="388"/>
      <c r="R442" s="388"/>
      <c r="S442" s="388"/>
      <c r="T442" s="388"/>
      <c r="U442" s="388"/>
      <c r="V442" s="388"/>
      <c r="AA442" s="256"/>
    </row>
    <row r="443">
      <c r="A443" s="388"/>
      <c r="B443" s="388"/>
      <c r="C443" s="388"/>
      <c r="D443" s="388"/>
      <c r="E443" s="388"/>
      <c r="F443" s="388"/>
      <c r="G443" s="388"/>
      <c r="H443" s="388"/>
      <c r="I443" s="388"/>
      <c r="J443" s="388"/>
      <c r="K443" s="388"/>
      <c r="L443" s="388"/>
      <c r="M443" s="388"/>
      <c r="N443" s="388"/>
      <c r="O443" s="388"/>
      <c r="P443" s="388"/>
      <c r="Q443" s="388"/>
      <c r="R443" s="388"/>
      <c r="S443" s="388"/>
      <c r="T443" s="388"/>
      <c r="U443" s="388"/>
      <c r="V443" s="388"/>
      <c r="AA443" s="256"/>
    </row>
    <row r="444">
      <c r="A444" s="388"/>
      <c r="B444" s="388"/>
      <c r="C444" s="388"/>
      <c r="D444" s="388"/>
      <c r="E444" s="388"/>
      <c r="F444" s="388"/>
      <c r="G444" s="388"/>
      <c r="H444" s="388"/>
      <c r="I444" s="388"/>
      <c r="J444" s="388"/>
      <c r="K444" s="388"/>
      <c r="L444" s="388"/>
      <c r="M444" s="388"/>
      <c r="N444" s="388"/>
      <c r="O444" s="388"/>
      <c r="P444" s="388"/>
      <c r="Q444" s="388"/>
      <c r="R444" s="388"/>
      <c r="S444" s="388"/>
      <c r="T444" s="388"/>
      <c r="U444" s="388"/>
      <c r="V444" s="388"/>
      <c r="AA444" s="256"/>
    </row>
    <row r="445">
      <c r="A445" s="388"/>
      <c r="B445" s="388"/>
      <c r="C445" s="388"/>
      <c r="D445" s="388"/>
      <c r="E445" s="388"/>
      <c r="F445" s="388"/>
      <c r="G445" s="388"/>
      <c r="H445" s="388"/>
      <c r="I445" s="388"/>
      <c r="J445" s="388"/>
      <c r="K445" s="388"/>
      <c r="L445" s="388"/>
      <c r="M445" s="388"/>
      <c r="N445" s="388"/>
      <c r="O445" s="388"/>
      <c r="P445" s="388"/>
      <c r="Q445" s="388"/>
      <c r="R445" s="388"/>
      <c r="S445" s="388"/>
      <c r="T445" s="388"/>
      <c r="U445" s="388"/>
      <c r="V445" s="388"/>
      <c r="AA445" s="256"/>
    </row>
    <row r="446">
      <c r="A446" s="388"/>
      <c r="B446" s="388"/>
      <c r="C446" s="388"/>
      <c r="D446" s="388"/>
      <c r="E446" s="388"/>
      <c r="F446" s="388"/>
      <c r="G446" s="388"/>
      <c r="H446" s="388"/>
      <c r="I446" s="388"/>
      <c r="J446" s="388"/>
      <c r="K446" s="388"/>
      <c r="L446" s="388"/>
      <c r="M446" s="388"/>
      <c r="N446" s="388"/>
      <c r="O446" s="388"/>
      <c r="P446" s="388"/>
      <c r="Q446" s="388"/>
      <c r="R446" s="388"/>
      <c r="S446" s="388"/>
      <c r="T446" s="388"/>
      <c r="U446" s="388"/>
      <c r="V446" s="388"/>
      <c r="AA446" s="256"/>
    </row>
    <row r="447">
      <c r="A447" s="388"/>
      <c r="B447" s="388"/>
      <c r="C447" s="388"/>
      <c r="D447" s="388"/>
      <c r="E447" s="388"/>
      <c r="F447" s="388"/>
      <c r="G447" s="388"/>
      <c r="H447" s="388"/>
      <c r="I447" s="388"/>
      <c r="J447" s="388"/>
      <c r="K447" s="388"/>
      <c r="L447" s="388"/>
      <c r="M447" s="388"/>
      <c r="N447" s="388"/>
      <c r="O447" s="388"/>
      <c r="P447" s="388"/>
      <c r="Q447" s="388"/>
      <c r="R447" s="388"/>
      <c r="S447" s="388"/>
      <c r="T447" s="388"/>
      <c r="U447" s="388"/>
      <c r="V447" s="388"/>
      <c r="AA447" s="256"/>
    </row>
    <row r="448">
      <c r="A448" s="388"/>
      <c r="B448" s="388"/>
      <c r="C448" s="388"/>
      <c r="D448" s="388"/>
      <c r="E448" s="388"/>
      <c r="F448" s="388"/>
      <c r="G448" s="388"/>
      <c r="H448" s="388"/>
      <c r="I448" s="388"/>
      <c r="J448" s="388"/>
      <c r="K448" s="388"/>
      <c r="L448" s="388"/>
      <c r="M448" s="388"/>
      <c r="N448" s="388"/>
      <c r="O448" s="388"/>
      <c r="P448" s="388"/>
      <c r="Q448" s="388"/>
      <c r="R448" s="388"/>
      <c r="S448" s="388"/>
      <c r="T448" s="388"/>
      <c r="U448" s="388"/>
      <c r="V448" s="388"/>
      <c r="AA448" s="256"/>
    </row>
    <row r="449">
      <c r="A449" s="388"/>
      <c r="B449" s="388"/>
      <c r="C449" s="388"/>
      <c r="D449" s="388"/>
      <c r="E449" s="388"/>
      <c r="F449" s="388"/>
      <c r="G449" s="388"/>
      <c r="H449" s="388"/>
      <c r="I449" s="388"/>
      <c r="J449" s="388"/>
      <c r="K449" s="388"/>
      <c r="L449" s="388"/>
      <c r="M449" s="388"/>
      <c r="N449" s="388"/>
      <c r="O449" s="388"/>
      <c r="P449" s="388"/>
      <c r="Q449" s="388"/>
      <c r="R449" s="388"/>
      <c r="S449" s="388"/>
      <c r="T449" s="388"/>
      <c r="U449" s="388"/>
      <c r="V449" s="388"/>
      <c r="AA449" s="256"/>
    </row>
    <row r="450">
      <c r="A450" s="388"/>
      <c r="B450" s="388"/>
      <c r="C450" s="388"/>
      <c r="D450" s="388"/>
      <c r="E450" s="388"/>
      <c r="F450" s="388"/>
      <c r="G450" s="388"/>
      <c r="H450" s="388"/>
      <c r="I450" s="388"/>
      <c r="J450" s="388"/>
      <c r="K450" s="388"/>
      <c r="L450" s="388"/>
      <c r="M450" s="388"/>
      <c r="N450" s="388"/>
      <c r="O450" s="388"/>
      <c r="P450" s="388"/>
      <c r="Q450" s="388"/>
      <c r="R450" s="388"/>
      <c r="S450" s="388"/>
      <c r="T450" s="388"/>
      <c r="U450" s="388"/>
      <c r="V450" s="388"/>
      <c r="AA450" s="256"/>
    </row>
    <row r="451">
      <c r="A451" s="388"/>
      <c r="B451" s="388"/>
      <c r="C451" s="388"/>
      <c r="D451" s="388"/>
      <c r="E451" s="388"/>
      <c r="F451" s="388"/>
      <c r="G451" s="388"/>
      <c r="H451" s="388"/>
      <c r="I451" s="388"/>
      <c r="J451" s="388"/>
      <c r="K451" s="388"/>
      <c r="L451" s="388"/>
      <c r="M451" s="388"/>
      <c r="N451" s="388"/>
      <c r="O451" s="388"/>
      <c r="P451" s="388"/>
      <c r="Q451" s="388"/>
      <c r="R451" s="388"/>
      <c r="S451" s="388"/>
      <c r="T451" s="388"/>
      <c r="U451" s="388"/>
      <c r="V451" s="388"/>
      <c r="AA451" s="256"/>
    </row>
    <row r="452">
      <c r="A452" s="388"/>
      <c r="B452" s="388"/>
      <c r="C452" s="388"/>
      <c r="D452" s="388"/>
      <c r="E452" s="388"/>
      <c r="F452" s="388"/>
      <c r="G452" s="388"/>
      <c r="H452" s="388"/>
      <c r="I452" s="388"/>
      <c r="J452" s="388"/>
      <c r="K452" s="388"/>
      <c r="L452" s="388"/>
      <c r="M452" s="388"/>
      <c r="N452" s="388"/>
      <c r="O452" s="388"/>
      <c r="P452" s="388"/>
      <c r="Q452" s="388"/>
      <c r="R452" s="388"/>
      <c r="S452" s="388"/>
      <c r="T452" s="388"/>
      <c r="U452" s="388"/>
      <c r="V452" s="388"/>
      <c r="AA452" s="256"/>
    </row>
    <row r="453">
      <c r="A453" s="388"/>
      <c r="B453" s="388"/>
      <c r="C453" s="388"/>
      <c r="D453" s="388"/>
      <c r="E453" s="388"/>
      <c r="F453" s="388"/>
      <c r="G453" s="388"/>
      <c r="H453" s="388"/>
      <c r="I453" s="388"/>
      <c r="J453" s="388"/>
      <c r="K453" s="388"/>
      <c r="L453" s="388"/>
      <c r="M453" s="388"/>
      <c r="N453" s="388"/>
      <c r="O453" s="388"/>
      <c r="P453" s="388"/>
      <c r="Q453" s="388"/>
      <c r="R453" s="388"/>
      <c r="S453" s="388"/>
      <c r="T453" s="388"/>
      <c r="U453" s="388"/>
      <c r="V453" s="388"/>
      <c r="AA453" s="256"/>
    </row>
    <row r="454">
      <c r="A454" s="388"/>
      <c r="B454" s="388"/>
      <c r="C454" s="388"/>
      <c r="D454" s="388"/>
      <c r="E454" s="388"/>
      <c r="F454" s="388"/>
      <c r="G454" s="388"/>
      <c r="H454" s="388"/>
      <c r="I454" s="388"/>
      <c r="J454" s="388"/>
      <c r="K454" s="388"/>
      <c r="L454" s="388"/>
      <c r="M454" s="388"/>
      <c r="N454" s="388"/>
      <c r="O454" s="388"/>
      <c r="P454" s="388"/>
      <c r="Q454" s="388"/>
      <c r="R454" s="388"/>
      <c r="S454" s="388"/>
      <c r="T454" s="388"/>
      <c r="U454" s="388"/>
      <c r="V454" s="388"/>
      <c r="AA454" s="256"/>
    </row>
    <row r="455">
      <c r="A455" s="388"/>
      <c r="B455" s="388"/>
      <c r="C455" s="388"/>
      <c r="D455" s="388"/>
      <c r="E455" s="388"/>
      <c r="F455" s="388"/>
      <c r="G455" s="388"/>
      <c r="H455" s="388"/>
      <c r="I455" s="388"/>
      <c r="J455" s="388"/>
      <c r="K455" s="388"/>
      <c r="L455" s="388"/>
      <c r="M455" s="388"/>
      <c r="N455" s="388"/>
      <c r="O455" s="388"/>
      <c r="P455" s="388"/>
      <c r="Q455" s="388"/>
      <c r="R455" s="388"/>
      <c r="S455" s="388"/>
      <c r="T455" s="388"/>
      <c r="U455" s="388"/>
      <c r="V455" s="388"/>
      <c r="AA455" s="256"/>
    </row>
    <row r="456">
      <c r="A456" s="388"/>
      <c r="B456" s="388"/>
      <c r="C456" s="388"/>
      <c r="D456" s="388"/>
      <c r="E456" s="388"/>
      <c r="F456" s="388"/>
      <c r="G456" s="388"/>
      <c r="H456" s="388"/>
      <c r="I456" s="388"/>
      <c r="J456" s="388"/>
      <c r="K456" s="388"/>
      <c r="L456" s="388"/>
      <c r="M456" s="388"/>
      <c r="N456" s="388"/>
      <c r="O456" s="388"/>
      <c r="P456" s="388"/>
      <c r="Q456" s="388"/>
      <c r="R456" s="388"/>
      <c r="S456" s="388"/>
      <c r="T456" s="388"/>
      <c r="U456" s="388"/>
      <c r="V456" s="388"/>
      <c r="AA456" s="256"/>
    </row>
    <row r="457">
      <c r="A457" s="388"/>
      <c r="B457" s="388"/>
      <c r="C457" s="388"/>
      <c r="D457" s="388"/>
      <c r="E457" s="388"/>
      <c r="F457" s="388"/>
      <c r="G457" s="388"/>
      <c r="H457" s="388"/>
      <c r="I457" s="388"/>
      <c r="J457" s="388"/>
      <c r="K457" s="388"/>
      <c r="L457" s="388"/>
      <c r="M457" s="388"/>
      <c r="N457" s="388"/>
      <c r="O457" s="388"/>
      <c r="P457" s="388"/>
      <c r="Q457" s="388"/>
      <c r="R457" s="388"/>
      <c r="S457" s="388"/>
      <c r="T457" s="388"/>
      <c r="U457" s="388"/>
      <c r="V457" s="388"/>
      <c r="AA457" s="256"/>
    </row>
    <row r="458">
      <c r="A458" s="388"/>
      <c r="B458" s="388"/>
      <c r="C458" s="388"/>
      <c r="D458" s="388"/>
      <c r="E458" s="388"/>
      <c r="F458" s="388"/>
      <c r="G458" s="388"/>
      <c r="H458" s="388"/>
      <c r="I458" s="388"/>
      <c r="J458" s="388"/>
      <c r="K458" s="388"/>
      <c r="L458" s="388"/>
      <c r="M458" s="388"/>
      <c r="N458" s="388"/>
      <c r="O458" s="388"/>
      <c r="P458" s="388"/>
      <c r="Q458" s="388"/>
      <c r="R458" s="388"/>
      <c r="S458" s="388"/>
      <c r="T458" s="388"/>
      <c r="U458" s="388"/>
      <c r="V458" s="388"/>
      <c r="AA458" s="256"/>
    </row>
    <row r="459">
      <c r="A459" s="388"/>
      <c r="B459" s="388"/>
      <c r="C459" s="388"/>
      <c r="D459" s="388"/>
      <c r="E459" s="388"/>
      <c r="F459" s="388"/>
      <c r="G459" s="388"/>
      <c r="H459" s="388"/>
      <c r="I459" s="388"/>
      <c r="J459" s="388"/>
      <c r="K459" s="388"/>
      <c r="L459" s="388"/>
      <c r="M459" s="388"/>
      <c r="N459" s="388"/>
      <c r="O459" s="388"/>
      <c r="P459" s="388"/>
      <c r="Q459" s="388"/>
      <c r="R459" s="388"/>
      <c r="S459" s="388"/>
      <c r="T459" s="388"/>
      <c r="U459" s="388"/>
      <c r="V459" s="388"/>
      <c r="AA459" s="256"/>
    </row>
    <row r="460">
      <c r="A460" s="388"/>
      <c r="B460" s="388"/>
      <c r="C460" s="388"/>
      <c r="D460" s="388"/>
      <c r="E460" s="388"/>
      <c r="F460" s="388"/>
      <c r="G460" s="388"/>
      <c r="H460" s="388"/>
      <c r="I460" s="388"/>
      <c r="J460" s="388"/>
      <c r="K460" s="388"/>
      <c r="L460" s="388"/>
      <c r="M460" s="388"/>
      <c r="N460" s="388"/>
      <c r="O460" s="388"/>
      <c r="P460" s="388"/>
      <c r="Q460" s="388"/>
      <c r="R460" s="388"/>
      <c r="S460" s="388"/>
      <c r="T460" s="388"/>
      <c r="U460" s="388"/>
      <c r="V460" s="388"/>
      <c r="AA460" s="256"/>
    </row>
    <row r="461">
      <c r="A461" s="388"/>
      <c r="B461" s="388"/>
      <c r="C461" s="388"/>
      <c r="D461" s="388"/>
      <c r="E461" s="388"/>
      <c r="F461" s="388"/>
      <c r="G461" s="388"/>
      <c r="H461" s="388"/>
      <c r="I461" s="388"/>
      <c r="J461" s="388"/>
      <c r="K461" s="388"/>
      <c r="L461" s="388"/>
      <c r="M461" s="388"/>
      <c r="N461" s="388"/>
      <c r="O461" s="388"/>
      <c r="P461" s="388"/>
      <c r="Q461" s="388"/>
      <c r="R461" s="388"/>
      <c r="S461" s="388"/>
      <c r="T461" s="388"/>
      <c r="U461" s="388"/>
      <c r="V461" s="388"/>
      <c r="AA461" s="256"/>
    </row>
    <row r="462">
      <c r="A462" s="388"/>
      <c r="B462" s="388"/>
      <c r="C462" s="388"/>
      <c r="D462" s="388"/>
      <c r="E462" s="388"/>
      <c r="F462" s="388"/>
      <c r="G462" s="388"/>
      <c r="H462" s="388"/>
      <c r="I462" s="388"/>
      <c r="J462" s="388"/>
      <c r="K462" s="388"/>
      <c r="L462" s="388"/>
      <c r="M462" s="388"/>
      <c r="N462" s="388"/>
      <c r="O462" s="388"/>
      <c r="P462" s="388"/>
      <c r="Q462" s="388"/>
      <c r="R462" s="388"/>
      <c r="S462" s="388"/>
      <c r="T462" s="388"/>
      <c r="U462" s="388"/>
      <c r="V462" s="388"/>
      <c r="AA462" s="256"/>
    </row>
    <row r="463">
      <c r="A463" s="388"/>
      <c r="B463" s="388"/>
      <c r="C463" s="388"/>
      <c r="D463" s="388"/>
      <c r="E463" s="388"/>
      <c r="F463" s="388"/>
      <c r="G463" s="388"/>
      <c r="H463" s="388"/>
      <c r="I463" s="388"/>
      <c r="J463" s="388"/>
      <c r="K463" s="388"/>
      <c r="L463" s="388"/>
      <c r="M463" s="388"/>
      <c r="N463" s="388"/>
      <c r="O463" s="388"/>
      <c r="P463" s="388"/>
      <c r="Q463" s="388"/>
      <c r="R463" s="388"/>
      <c r="S463" s="388"/>
      <c r="T463" s="388"/>
      <c r="U463" s="388"/>
      <c r="V463" s="388"/>
      <c r="AA463" s="256"/>
    </row>
    <row r="464">
      <c r="A464" s="388"/>
      <c r="B464" s="388"/>
      <c r="C464" s="388"/>
      <c r="D464" s="388"/>
      <c r="E464" s="388"/>
      <c r="F464" s="388"/>
      <c r="G464" s="388"/>
      <c r="H464" s="388"/>
      <c r="I464" s="388"/>
      <c r="J464" s="388"/>
      <c r="K464" s="388"/>
      <c r="L464" s="388"/>
      <c r="M464" s="388"/>
      <c r="N464" s="388"/>
      <c r="O464" s="388"/>
      <c r="P464" s="388"/>
      <c r="Q464" s="388"/>
      <c r="R464" s="388"/>
      <c r="S464" s="388"/>
      <c r="T464" s="388"/>
      <c r="U464" s="388"/>
      <c r="V464" s="388"/>
      <c r="AA464" s="256"/>
    </row>
    <row r="465">
      <c r="A465" s="388"/>
      <c r="B465" s="388"/>
      <c r="C465" s="388"/>
      <c r="D465" s="388"/>
      <c r="E465" s="388"/>
      <c r="F465" s="388"/>
      <c r="G465" s="388"/>
      <c r="H465" s="388"/>
      <c r="I465" s="388"/>
      <c r="J465" s="388"/>
      <c r="K465" s="388"/>
      <c r="L465" s="388"/>
      <c r="M465" s="388"/>
      <c r="N465" s="388"/>
      <c r="O465" s="388"/>
      <c r="P465" s="388"/>
      <c r="Q465" s="388"/>
      <c r="R465" s="388"/>
      <c r="S465" s="388"/>
      <c r="T465" s="388"/>
      <c r="U465" s="388"/>
      <c r="V465" s="388"/>
      <c r="AA465" s="256"/>
    </row>
    <row r="466">
      <c r="A466" s="388"/>
      <c r="B466" s="388"/>
      <c r="C466" s="388"/>
      <c r="D466" s="388"/>
      <c r="E466" s="388"/>
      <c r="F466" s="388"/>
      <c r="G466" s="388"/>
      <c r="H466" s="388"/>
      <c r="I466" s="388"/>
      <c r="J466" s="388"/>
      <c r="K466" s="388"/>
      <c r="L466" s="388"/>
      <c r="M466" s="388"/>
      <c r="N466" s="388"/>
      <c r="O466" s="388"/>
      <c r="P466" s="388"/>
      <c r="Q466" s="388"/>
      <c r="R466" s="388"/>
      <c r="S466" s="388"/>
      <c r="T466" s="388"/>
      <c r="U466" s="388"/>
      <c r="V466" s="388"/>
      <c r="AA466" s="256"/>
    </row>
    <row r="467">
      <c r="A467" s="388"/>
      <c r="B467" s="388"/>
      <c r="C467" s="388"/>
      <c r="D467" s="388"/>
      <c r="E467" s="388"/>
      <c r="F467" s="388"/>
      <c r="G467" s="388"/>
      <c r="H467" s="388"/>
      <c r="I467" s="388"/>
      <c r="J467" s="388"/>
      <c r="K467" s="388"/>
      <c r="L467" s="388"/>
      <c r="M467" s="388"/>
      <c r="N467" s="388"/>
      <c r="O467" s="388"/>
      <c r="P467" s="388"/>
      <c r="Q467" s="388"/>
      <c r="R467" s="388"/>
      <c r="S467" s="388"/>
      <c r="T467" s="388"/>
      <c r="U467" s="388"/>
      <c r="V467" s="388"/>
      <c r="AA467" s="256"/>
    </row>
    <row r="468">
      <c r="A468" s="388"/>
      <c r="B468" s="388"/>
      <c r="C468" s="388"/>
      <c r="D468" s="388"/>
      <c r="E468" s="388"/>
      <c r="F468" s="388"/>
      <c r="G468" s="388"/>
      <c r="H468" s="388"/>
      <c r="I468" s="388"/>
      <c r="J468" s="388"/>
      <c r="K468" s="388"/>
      <c r="L468" s="388"/>
      <c r="M468" s="388"/>
      <c r="N468" s="388"/>
      <c r="O468" s="388"/>
      <c r="P468" s="388"/>
      <c r="Q468" s="388"/>
      <c r="R468" s="388"/>
      <c r="S468" s="388"/>
      <c r="T468" s="388"/>
      <c r="U468" s="388"/>
      <c r="V468" s="388"/>
      <c r="AA468" s="256"/>
    </row>
    <row r="469">
      <c r="A469" s="388"/>
      <c r="B469" s="388"/>
      <c r="C469" s="388"/>
      <c r="D469" s="388"/>
      <c r="E469" s="388"/>
      <c r="F469" s="388"/>
      <c r="G469" s="388"/>
      <c r="H469" s="388"/>
      <c r="I469" s="388"/>
      <c r="J469" s="388"/>
      <c r="K469" s="388"/>
      <c r="L469" s="388"/>
      <c r="M469" s="388"/>
      <c r="N469" s="388"/>
      <c r="O469" s="388"/>
      <c r="P469" s="388"/>
      <c r="Q469" s="388"/>
      <c r="R469" s="388"/>
      <c r="S469" s="388"/>
      <c r="T469" s="388"/>
      <c r="U469" s="388"/>
      <c r="V469" s="388"/>
      <c r="AA469" s="256"/>
    </row>
    <row r="470">
      <c r="A470" s="388"/>
      <c r="B470" s="388"/>
      <c r="C470" s="388"/>
      <c r="D470" s="388"/>
      <c r="E470" s="388"/>
      <c r="F470" s="388"/>
      <c r="G470" s="388"/>
      <c r="H470" s="388"/>
      <c r="I470" s="388"/>
      <c r="J470" s="388"/>
      <c r="K470" s="388"/>
      <c r="L470" s="388"/>
      <c r="M470" s="388"/>
      <c r="N470" s="388"/>
      <c r="O470" s="388"/>
      <c r="P470" s="388"/>
      <c r="Q470" s="388"/>
      <c r="R470" s="388"/>
      <c r="S470" s="388"/>
      <c r="T470" s="388"/>
      <c r="U470" s="388"/>
      <c r="V470" s="388"/>
      <c r="AA470" s="256"/>
    </row>
    <row r="471">
      <c r="A471" s="388"/>
      <c r="B471" s="388"/>
      <c r="C471" s="388"/>
      <c r="D471" s="388"/>
      <c r="E471" s="388"/>
      <c r="F471" s="388"/>
      <c r="G471" s="388"/>
      <c r="H471" s="388"/>
      <c r="I471" s="388"/>
      <c r="J471" s="388"/>
      <c r="K471" s="388"/>
      <c r="L471" s="388"/>
      <c r="M471" s="388"/>
      <c r="N471" s="388"/>
      <c r="O471" s="388"/>
      <c r="P471" s="388"/>
      <c r="Q471" s="388"/>
      <c r="R471" s="388"/>
      <c r="S471" s="388"/>
      <c r="T471" s="388"/>
      <c r="U471" s="388"/>
      <c r="V471" s="388"/>
      <c r="AA471" s="256"/>
    </row>
    <row r="472">
      <c r="A472" s="388"/>
      <c r="B472" s="388"/>
      <c r="C472" s="388"/>
      <c r="D472" s="388"/>
      <c r="E472" s="388"/>
      <c r="F472" s="388"/>
      <c r="G472" s="388"/>
      <c r="H472" s="388"/>
      <c r="I472" s="388"/>
      <c r="J472" s="388"/>
      <c r="K472" s="388"/>
      <c r="L472" s="388"/>
      <c r="M472" s="388"/>
      <c r="N472" s="388"/>
      <c r="O472" s="388"/>
      <c r="P472" s="388"/>
      <c r="Q472" s="388"/>
      <c r="R472" s="388"/>
      <c r="S472" s="388"/>
      <c r="T472" s="388"/>
      <c r="U472" s="388"/>
      <c r="V472" s="388"/>
      <c r="AA472" s="256"/>
    </row>
    <row r="473">
      <c r="A473" s="388"/>
      <c r="B473" s="388"/>
      <c r="C473" s="388"/>
      <c r="D473" s="388"/>
      <c r="E473" s="388"/>
      <c r="F473" s="388"/>
      <c r="G473" s="388"/>
      <c r="H473" s="388"/>
      <c r="I473" s="388"/>
      <c r="J473" s="388"/>
      <c r="K473" s="388"/>
      <c r="L473" s="388"/>
      <c r="M473" s="388"/>
      <c r="N473" s="388"/>
      <c r="O473" s="388"/>
      <c r="P473" s="388"/>
      <c r="Q473" s="388"/>
      <c r="R473" s="388"/>
      <c r="S473" s="388"/>
      <c r="T473" s="388"/>
      <c r="U473" s="388"/>
      <c r="V473" s="388"/>
      <c r="AA473" s="256"/>
    </row>
    <row r="474">
      <c r="A474" s="388"/>
      <c r="B474" s="388"/>
      <c r="C474" s="388"/>
      <c r="D474" s="388"/>
      <c r="E474" s="388"/>
      <c r="F474" s="388"/>
      <c r="G474" s="388"/>
      <c r="H474" s="388"/>
      <c r="I474" s="388"/>
      <c r="J474" s="388"/>
      <c r="K474" s="388"/>
      <c r="L474" s="388"/>
      <c r="M474" s="388"/>
      <c r="N474" s="388"/>
      <c r="O474" s="388"/>
      <c r="P474" s="388"/>
      <c r="Q474" s="388"/>
      <c r="R474" s="388"/>
      <c r="S474" s="388"/>
      <c r="T474" s="388"/>
      <c r="U474" s="388"/>
      <c r="V474" s="388"/>
      <c r="AA474" s="256"/>
    </row>
    <row r="475">
      <c r="A475" s="388"/>
      <c r="B475" s="388"/>
      <c r="C475" s="388"/>
      <c r="D475" s="388"/>
      <c r="E475" s="388"/>
      <c r="F475" s="388"/>
      <c r="G475" s="388"/>
      <c r="H475" s="388"/>
      <c r="I475" s="388"/>
      <c r="J475" s="388"/>
      <c r="K475" s="388"/>
      <c r="L475" s="388"/>
      <c r="M475" s="388"/>
      <c r="N475" s="388"/>
      <c r="O475" s="388"/>
      <c r="P475" s="388"/>
      <c r="Q475" s="388"/>
      <c r="R475" s="388"/>
      <c r="S475" s="388"/>
      <c r="T475" s="388"/>
      <c r="U475" s="388"/>
      <c r="V475" s="388"/>
      <c r="AA475" s="256"/>
    </row>
    <row r="476">
      <c r="A476" s="388"/>
      <c r="B476" s="388"/>
      <c r="C476" s="388"/>
      <c r="D476" s="388"/>
      <c r="E476" s="388"/>
      <c r="F476" s="388"/>
      <c r="G476" s="388"/>
      <c r="H476" s="388"/>
      <c r="I476" s="388"/>
      <c r="J476" s="388"/>
      <c r="K476" s="388"/>
      <c r="L476" s="388"/>
      <c r="M476" s="388"/>
      <c r="N476" s="388"/>
      <c r="O476" s="388"/>
      <c r="P476" s="388"/>
      <c r="Q476" s="388"/>
      <c r="R476" s="388"/>
      <c r="S476" s="388"/>
      <c r="T476" s="388"/>
      <c r="U476" s="388"/>
      <c r="V476" s="388"/>
      <c r="AA476" s="256"/>
    </row>
    <row r="477">
      <c r="A477" s="388"/>
      <c r="B477" s="388"/>
      <c r="C477" s="388"/>
      <c r="D477" s="388"/>
      <c r="E477" s="388"/>
      <c r="F477" s="388"/>
      <c r="G477" s="388"/>
      <c r="H477" s="388"/>
      <c r="I477" s="388"/>
      <c r="J477" s="388"/>
      <c r="K477" s="388"/>
      <c r="L477" s="388"/>
      <c r="M477" s="388"/>
      <c r="N477" s="388"/>
      <c r="O477" s="388"/>
      <c r="P477" s="388"/>
      <c r="Q477" s="388"/>
      <c r="R477" s="388"/>
      <c r="S477" s="388"/>
      <c r="T477" s="388"/>
      <c r="U477" s="388"/>
      <c r="V477" s="388"/>
      <c r="AA477" s="256"/>
    </row>
    <row r="478">
      <c r="A478" s="388"/>
      <c r="B478" s="388"/>
      <c r="C478" s="388"/>
      <c r="D478" s="388"/>
      <c r="E478" s="388"/>
      <c r="F478" s="388"/>
      <c r="G478" s="388"/>
      <c r="H478" s="388"/>
      <c r="I478" s="388"/>
      <c r="J478" s="388"/>
      <c r="K478" s="388"/>
      <c r="L478" s="388"/>
      <c r="M478" s="388"/>
      <c r="N478" s="388"/>
      <c r="O478" s="388"/>
      <c r="P478" s="388"/>
      <c r="Q478" s="388"/>
      <c r="R478" s="388"/>
      <c r="S478" s="388"/>
      <c r="T478" s="388"/>
      <c r="U478" s="388"/>
      <c r="V478" s="388"/>
      <c r="AA478" s="256"/>
    </row>
    <row r="479">
      <c r="A479" s="388"/>
      <c r="B479" s="388"/>
      <c r="C479" s="388"/>
      <c r="D479" s="388"/>
      <c r="E479" s="388"/>
      <c r="F479" s="388"/>
      <c r="G479" s="388"/>
      <c r="H479" s="388"/>
      <c r="I479" s="388"/>
      <c r="J479" s="388"/>
      <c r="K479" s="388"/>
      <c r="L479" s="388"/>
      <c r="M479" s="388"/>
      <c r="N479" s="388"/>
      <c r="O479" s="388"/>
      <c r="P479" s="388"/>
      <c r="Q479" s="388"/>
      <c r="R479" s="388"/>
      <c r="S479" s="388"/>
      <c r="T479" s="388"/>
      <c r="U479" s="388"/>
      <c r="V479" s="388"/>
      <c r="AA479" s="256"/>
    </row>
    <row r="480">
      <c r="A480" s="388"/>
      <c r="B480" s="388"/>
      <c r="C480" s="388"/>
      <c r="D480" s="388"/>
      <c r="E480" s="388"/>
      <c r="F480" s="388"/>
      <c r="G480" s="388"/>
      <c r="H480" s="388"/>
      <c r="I480" s="388"/>
      <c r="J480" s="388"/>
      <c r="K480" s="388"/>
      <c r="L480" s="388"/>
      <c r="M480" s="388"/>
      <c r="N480" s="388"/>
      <c r="O480" s="388"/>
      <c r="P480" s="388"/>
      <c r="Q480" s="388"/>
      <c r="R480" s="388"/>
      <c r="S480" s="388"/>
      <c r="T480" s="388"/>
      <c r="U480" s="388"/>
      <c r="V480" s="388"/>
      <c r="AA480" s="256"/>
    </row>
    <row r="481">
      <c r="A481" s="388"/>
      <c r="B481" s="388"/>
      <c r="C481" s="388"/>
      <c r="D481" s="388"/>
      <c r="E481" s="388"/>
      <c r="F481" s="388"/>
      <c r="G481" s="388"/>
      <c r="H481" s="388"/>
      <c r="I481" s="388"/>
      <c r="J481" s="388"/>
      <c r="K481" s="388"/>
      <c r="L481" s="388"/>
      <c r="M481" s="388"/>
      <c r="N481" s="388"/>
      <c r="O481" s="388"/>
      <c r="P481" s="388"/>
      <c r="Q481" s="388"/>
      <c r="R481" s="388"/>
      <c r="S481" s="388"/>
      <c r="T481" s="388"/>
      <c r="U481" s="388"/>
      <c r="V481" s="388"/>
      <c r="AA481" s="256"/>
    </row>
    <row r="482">
      <c r="A482" s="388"/>
      <c r="B482" s="388"/>
      <c r="C482" s="388"/>
      <c r="D482" s="388"/>
      <c r="E482" s="388"/>
      <c r="F482" s="388"/>
      <c r="G482" s="388"/>
      <c r="H482" s="388"/>
      <c r="I482" s="388"/>
      <c r="J482" s="388"/>
      <c r="K482" s="388"/>
      <c r="L482" s="388"/>
      <c r="M482" s="388"/>
      <c r="N482" s="388"/>
      <c r="O482" s="388"/>
      <c r="P482" s="388"/>
      <c r="Q482" s="388"/>
      <c r="R482" s="388"/>
      <c r="S482" s="388"/>
      <c r="T482" s="388"/>
      <c r="U482" s="388"/>
      <c r="V482" s="388"/>
      <c r="AA482" s="256"/>
    </row>
    <row r="483">
      <c r="A483" s="388"/>
      <c r="B483" s="388"/>
      <c r="C483" s="388"/>
      <c r="D483" s="388"/>
      <c r="E483" s="388"/>
      <c r="F483" s="388"/>
      <c r="G483" s="388"/>
      <c r="H483" s="388"/>
      <c r="I483" s="388"/>
      <c r="J483" s="388"/>
      <c r="K483" s="388"/>
      <c r="L483" s="388"/>
      <c r="M483" s="388"/>
      <c r="N483" s="388"/>
      <c r="O483" s="388"/>
      <c r="P483" s="388"/>
      <c r="Q483" s="388"/>
      <c r="R483" s="388"/>
      <c r="S483" s="388"/>
      <c r="T483" s="388"/>
      <c r="U483" s="388"/>
      <c r="V483" s="388"/>
      <c r="AA483" s="256"/>
    </row>
    <row r="484">
      <c r="A484" s="388"/>
      <c r="B484" s="388"/>
      <c r="C484" s="388"/>
      <c r="D484" s="388"/>
      <c r="E484" s="388"/>
      <c r="F484" s="388"/>
      <c r="G484" s="388"/>
      <c r="H484" s="388"/>
      <c r="I484" s="388"/>
      <c r="J484" s="388"/>
      <c r="K484" s="388"/>
      <c r="L484" s="388"/>
      <c r="M484" s="388"/>
      <c r="N484" s="388"/>
      <c r="O484" s="388"/>
      <c r="P484" s="388"/>
      <c r="Q484" s="388"/>
      <c r="R484" s="388"/>
      <c r="S484" s="388"/>
      <c r="T484" s="388"/>
      <c r="U484" s="388"/>
      <c r="V484" s="388"/>
      <c r="AA484" s="256"/>
    </row>
    <row r="485">
      <c r="A485" s="388"/>
      <c r="B485" s="388"/>
      <c r="C485" s="388"/>
      <c r="D485" s="388"/>
      <c r="E485" s="388"/>
      <c r="F485" s="388"/>
      <c r="G485" s="388"/>
      <c r="H485" s="388"/>
      <c r="I485" s="388"/>
      <c r="J485" s="388"/>
      <c r="K485" s="388"/>
      <c r="L485" s="388"/>
      <c r="M485" s="388"/>
      <c r="N485" s="388"/>
      <c r="O485" s="388"/>
      <c r="P485" s="388"/>
      <c r="Q485" s="388"/>
      <c r="R485" s="388"/>
      <c r="S485" s="388"/>
      <c r="T485" s="388"/>
      <c r="U485" s="388"/>
      <c r="V485" s="388"/>
      <c r="AA485" s="256"/>
    </row>
    <row r="486">
      <c r="A486" s="388"/>
      <c r="B486" s="388"/>
      <c r="C486" s="388"/>
      <c r="D486" s="388"/>
      <c r="E486" s="388"/>
      <c r="F486" s="388"/>
      <c r="G486" s="388"/>
      <c r="H486" s="388"/>
      <c r="I486" s="388"/>
      <c r="J486" s="388"/>
      <c r="K486" s="388"/>
      <c r="L486" s="388"/>
      <c r="M486" s="388"/>
      <c r="N486" s="388"/>
      <c r="O486" s="388"/>
      <c r="P486" s="388"/>
      <c r="Q486" s="388"/>
      <c r="R486" s="388"/>
      <c r="S486" s="388"/>
      <c r="T486" s="388"/>
      <c r="U486" s="388"/>
      <c r="V486" s="388"/>
      <c r="AA486" s="256"/>
    </row>
    <row r="487">
      <c r="A487" s="388"/>
      <c r="B487" s="388"/>
      <c r="C487" s="388"/>
      <c r="D487" s="388"/>
      <c r="E487" s="388"/>
      <c r="F487" s="388"/>
      <c r="G487" s="388"/>
      <c r="H487" s="388"/>
      <c r="I487" s="388"/>
      <c r="J487" s="388"/>
      <c r="K487" s="388"/>
      <c r="L487" s="388"/>
      <c r="M487" s="388"/>
      <c r="N487" s="388"/>
      <c r="O487" s="388"/>
      <c r="P487" s="388"/>
      <c r="Q487" s="388"/>
      <c r="R487" s="388"/>
      <c r="S487" s="388"/>
      <c r="T487" s="388"/>
      <c r="U487" s="388"/>
      <c r="V487" s="388"/>
      <c r="AA487" s="256"/>
    </row>
    <row r="488">
      <c r="A488" s="388"/>
      <c r="B488" s="388"/>
      <c r="C488" s="388"/>
      <c r="D488" s="388"/>
      <c r="E488" s="388"/>
      <c r="F488" s="388"/>
      <c r="G488" s="388"/>
      <c r="H488" s="388"/>
      <c r="I488" s="388"/>
      <c r="J488" s="388"/>
      <c r="K488" s="388"/>
      <c r="L488" s="388"/>
      <c r="M488" s="388"/>
      <c r="N488" s="388"/>
      <c r="O488" s="388"/>
      <c r="P488" s="388"/>
      <c r="Q488" s="388"/>
      <c r="R488" s="388"/>
      <c r="S488" s="388"/>
      <c r="T488" s="388"/>
      <c r="U488" s="388"/>
      <c r="V488" s="388"/>
      <c r="AA488" s="256"/>
    </row>
    <row r="489">
      <c r="A489" s="388"/>
      <c r="B489" s="388"/>
      <c r="C489" s="388"/>
      <c r="D489" s="388"/>
      <c r="E489" s="388"/>
      <c r="F489" s="388"/>
      <c r="G489" s="388"/>
      <c r="H489" s="388"/>
      <c r="I489" s="388"/>
      <c r="J489" s="388"/>
      <c r="K489" s="388"/>
      <c r="L489" s="388"/>
      <c r="M489" s="388"/>
      <c r="N489" s="388"/>
      <c r="O489" s="388"/>
      <c r="P489" s="388"/>
      <c r="Q489" s="388"/>
      <c r="R489" s="388"/>
      <c r="S489" s="388"/>
      <c r="T489" s="388"/>
      <c r="U489" s="388"/>
      <c r="V489" s="388"/>
      <c r="AA489" s="256"/>
    </row>
    <row r="490">
      <c r="A490" s="388"/>
      <c r="B490" s="388"/>
      <c r="C490" s="388"/>
      <c r="D490" s="388"/>
      <c r="E490" s="388"/>
      <c r="F490" s="388"/>
      <c r="G490" s="388"/>
      <c r="H490" s="388"/>
      <c r="I490" s="388"/>
      <c r="J490" s="388"/>
      <c r="K490" s="388"/>
      <c r="L490" s="388"/>
      <c r="M490" s="388"/>
      <c r="N490" s="388"/>
      <c r="O490" s="388"/>
      <c r="P490" s="388"/>
      <c r="Q490" s="388"/>
      <c r="R490" s="388"/>
      <c r="S490" s="388"/>
      <c r="T490" s="388"/>
      <c r="U490" s="388"/>
      <c r="V490" s="388"/>
      <c r="AA490" s="256"/>
    </row>
    <row r="491">
      <c r="A491" s="388"/>
      <c r="B491" s="388"/>
      <c r="C491" s="388"/>
      <c r="D491" s="388"/>
      <c r="E491" s="388"/>
      <c r="F491" s="388"/>
      <c r="G491" s="388"/>
      <c r="H491" s="388"/>
      <c r="I491" s="388"/>
      <c r="J491" s="388"/>
      <c r="K491" s="388"/>
      <c r="L491" s="388"/>
      <c r="M491" s="388"/>
      <c r="N491" s="388"/>
      <c r="O491" s="388"/>
      <c r="P491" s="388"/>
      <c r="Q491" s="388"/>
      <c r="R491" s="388"/>
      <c r="S491" s="388"/>
      <c r="T491" s="388"/>
      <c r="U491" s="388"/>
      <c r="V491" s="388"/>
      <c r="AA491" s="256"/>
    </row>
    <row r="492">
      <c r="A492" s="388"/>
      <c r="B492" s="388"/>
      <c r="C492" s="388"/>
      <c r="D492" s="388"/>
      <c r="E492" s="388"/>
      <c r="F492" s="388"/>
      <c r="G492" s="388"/>
      <c r="H492" s="388"/>
      <c r="I492" s="388"/>
      <c r="J492" s="388"/>
      <c r="K492" s="388"/>
      <c r="L492" s="388"/>
      <c r="M492" s="388"/>
      <c r="N492" s="388"/>
      <c r="O492" s="388"/>
      <c r="P492" s="388"/>
      <c r="Q492" s="388"/>
      <c r="R492" s="388"/>
      <c r="S492" s="388"/>
      <c r="T492" s="388"/>
      <c r="U492" s="388"/>
      <c r="V492" s="388"/>
      <c r="AA492" s="256"/>
    </row>
    <row r="493">
      <c r="A493" s="388"/>
      <c r="B493" s="388"/>
      <c r="C493" s="388"/>
      <c r="D493" s="388"/>
      <c r="E493" s="388"/>
      <c r="F493" s="388"/>
      <c r="G493" s="388"/>
      <c r="H493" s="388"/>
      <c r="I493" s="388"/>
      <c r="J493" s="388"/>
      <c r="K493" s="388"/>
      <c r="L493" s="388"/>
      <c r="M493" s="388"/>
      <c r="N493" s="388"/>
      <c r="O493" s="388"/>
      <c r="P493" s="388"/>
      <c r="Q493" s="388"/>
      <c r="R493" s="388"/>
      <c r="S493" s="388"/>
      <c r="T493" s="388"/>
      <c r="U493" s="388"/>
      <c r="V493" s="388"/>
      <c r="AA493" s="256"/>
    </row>
    <row r="494">
      <c r="A494" s="388"/>
      <c r="B494" s="388"/>
      <c r="C494" s="388"/>
      <c r="D494" s="388"/>
      <c r="E494" s="388"/>
      <c r="F494" s="388"/>
      <c r="G494" s="388"/>
      <c r="H494" s="388"/>
      <c r="I494" s="388"/>
      <c r="J494" s="388"/>
      <c r="K494" s="388"/>
      <c r="L494" s="388"/>
      <c r="M494" s="388"/>
      <c r="N494" s="388"/>
      <c r="O494" s="388"/>
      <c r="P494" s="388"/>
      <c r="Q494" s="388"/>
      <c r="R494" s="388"/>
      <c r="S494" s="388"/>
      <c r="T494" s="388"/>
      <c r="U494" s="388"/>
      <c r="V494" s="388"/>
      <c r="AA494" s="256"/>
    </row>
    <row r="495">
      <c r="A495" s="388"/>
      <c r="B495" s="388"/>
      <c r="C495" s="388"/>
      <c r="D495" s="388"/>
      <c r="E495" s="388"/>
      <c r="F495" s="388"/>
      <c r="G495" s="388"/>
      <c r="H495" s="388"/>
      <c r="I495" s="388"/>
      <c r="J495" s="388"/>
      <c r="K495" s="388"/>
      <c r="L495" s="388"/>
      <c r="M495" s="388"/>
      <c r="N495" s="388"/>
      <c r="O495" s="388"/>
      <c r="P495" s="388"/>
      <c r="Q495" s="388"/>
      <c r="R495" s="388"/>
      <c r="S495" s="388"/>
      <c r="T495" s="388"/>
      <c r="U495" s="388"/>
      <c r="V495" s="388"/>
      <c r="AA495" s="256"/>
    </row>
    <row r="496">
      <c r="A496" s="388"/>
      <c r="B496" s="388"/>
      <c r="C496" s="388"/>
      <c r="D496" s="388"/>
      <c r="E496" s="388"/>
      <c r="F496" s="388"/>
      <c r="G496" s="388"/>
      <c r="H496" s="388"/>
      <c r="I496" s="388"/>
      <c r="J496" s="388"/>
      <c r="K496" s="388"/>
      <c r="L496" s="388"/>
      <c r="M496" s="388"/>
      <c r="N496" s="388"/>
      <c r="O496" s="388"/>
      <c r="P496" s="388"/>
      <c r="Q496" s="388"/>
      <c r="R496" s="388"/>
      <c r="S496" s="388"/>
      <c r="T496" s="388"/>
      <c r="U496" s="388"/>
      <c r="V496" s="388"/>
      <c r="AA496" s="256"/>
    </row>
    <row r="497">
      <c r="A497" s="388"/>
      <c r="B497" s="388"/>
      <c r="C497" s="388"/>
      <c r="D497" s="388"/>
      <c r="E497" s="388"/>
      <c r="F497" s="388"/>
      <c r="G497" s="388"/>
      <c r="H497" s="388"/>
      <c r="I497" s="388"/>
      <c r="J497" s="388"/>
      <c r="K497" s="388"/>
      <c r="L497" s="388"/>
      <c r="M497" s="388"/>
      <c r="N497" s="388"/>
      <c r="O497" s="388"/>
      <c r="P497" s="388"/>
      <c r="Q497" s="388"/>
      <c r="R497" s="388"/>
      <c r="S497" s="388"/>
      <c r="T497" s="388"/>
      <c r="U497" s="388"/>
      <c r="V497" s="388"/>
      <c r="AA497" s="256"/>
    </row>
    <row r="498">
      <c r="A498" s="388"/>
      <c r="B498" s="388"/>
      <c r="C498" s="388"/>
      <c r="D498" s="388"/>
      <c r="E498" s="388"/>
      <c r="F498" s="388"/>
      <c r="G498" s="388"/>
      <c r="H498" s="388"/>
      <c r="I498" s="388"/>
      <c r="J498" s="388"/>
      <c r="K498" s="388"/>
      <c r="L498" s="388"/>
      <c r="M498" s="388"/>
      <c r="N498" s="388"/>
      <c r="O498" s="388"/>
      <c r="P498" s="388"/>
      <c r="Q498" s="388"/>
      <c r="R498" s="388"/>
      <c r="S498" s="388"/>
      <c r="T498" s="388"/>
      <c r="U498" s="388"/>
      <c r="V498" s="388"/>
      <c r="AA498" s="256"/>
    </row>
    <row r="499">
      <c r="A499" s="388"/>
      <c r="B499" s="388"/>
      <c r="C499" s="388"/>
      <c r="D499" s="388"/>
      <c r="E499" s="388"/>
      <c r="F499" s="388"/>
      <c r="G499" s="388"/>
      <c r="H499" s="388"/>
      <c r="I499" s="388"/>
      <c r="J499" s="388"/>
      <c r="K499" s="388"/>
      <c r="L499" s="388"/>
      <c r="M499" s="388"/>
      <c r="N499" s="388"/>
      <c r="O499" s="388"/>
      <c r="P499" s="388"/>
      <c r="Q499" s="388"/>
      <c r="R499" s="388"/>
      <c r="S499" s="388"/>
      <c r="T499" s="388"/>
      <c r="U499" s="388"/>
      <c r="V499" s="388"/>
      <c r="AA499" s="256"/>
    </row>
    <row r="500">
      <c r="A500" s="388"/>
      <c r="B500" s="388"/>
      <c r="C500" s="388"/>
      <c r="D500" s="388"/>
      <c r="E500" s="388"/>
      <c r="F500" s="388"/>
      <c r="G500" s="388"/>
      <c r="H500" s="388"/>
      <c r="I500" s="388"/>
      <c r="J500" s="388"/>
      <c r="K500" s="388"/>
      <c r="L500" s="388"/>
      <c r="M500" s="388"/>
      <c r="N500" s="388"/>
      <c r="O500" s="388"/>
      <c r="P500" s="388"/>
      <c r="Q500" s="388"/>
      <c r="R500" s="388"/>
      <c r="S500" s="388"/>
      <c r="T500" s="388"/>
      <c r="U500" s="388"/>
      <c r="V500" s="388"/>
      <c r="AA500" s="256"/>
    </row>
    <row r="501">
      <c r="A501" s="388"/>
      <c r="B501" s="388"/>
      <c r="C501" s="388"/>
      <c r="D501" s="388"/>
      <c r="E501" s="388"/>
      <c r="F501" s="388"/>
      <c r="G501" s="388"/>
      <c r="H501" s="388"/>
      <c r="I501" s="388"/>
      <c r="J501" s="388"/>
      <c r="K501" s="388"/>
      <c r="L501" s="388"/>
      <c r="M501" s="388"/>
      <c r="N501" s="388"/>
      <c r="O501" s="388"/>
      <c r="P501" s="388"/>
      <c r="Q501" s="388"/>
      <c r="R501" s="388"/>
      <c r="S501" s="388"/>
      <c r="T501" s="388"/>
      <c r="U501" s="388"/>
      <c r="V501" s="388"/>
      <c r="AA501" s="256"/>
    </row>
    <row r="502">
      <c r="A502" s="388"/>
      <c r="B502" s="388"/>
      <c r="C502" s="388"/>
      <c r="D502" s="388"/>
      <c r="E502" s="388"/>
      <c r="F502" s="388"/>
      <c r="G502" s="388"/>
      <c r="H502" s="388"/>
      <c r="I502" s="388"/>
      <c r="J502" s="388"/>
      <c r="K502" s="388"/>
      <c r="L502" s="388"/>
      <c r="M502" s="388"/>
      <c r="N502" s="388"/>
      <c r="O502" s="388"/>
      <c r="P502" s="388"/>
      <c r="Q502" s="388"/>
      <c r="R502" s="388"/>
      <c r="S502" s="388"/>
      <c r="T502" s="388"/>
      <c r="U502" s="388"/>
      <c r="V502" s="388"/>
      <c r="AA502" s="256"/>
    </row>
    <row r="503">
      <c r="A503" s="388"/>
      <c r="B503" s="388"/>
      <c r="C503" s="388"/>
      <c r="D503" s="388"/>
      <c r="E503" s="388"/>
      <c r="F503" s="388"/>
      <c r="G503" s="388"/>
      <c r="H503" s="388"/>
      <c r="I503" s="388"/>
      <c r="J503" s="388"/>
      <c r="K503" s="388"/>
      <c r="L503" s="388"/>
      <c r="M503" s="388"/>
      <c r="N503" s="388"/>
      <c r="O503" s="388"/>
      <c r="P503" s="388"/>
      <c r="Q503" s="388"/>
      <c r="R503" s="388"/>
      <c r="S503" s="388"/>
      <c r="T503" s="388"/>
      <c r="U503" s="388"/>
      <c r="V503" s="388"/>
      <c r="AA503" s="256"/>
    </row>
    <row r="504">
      <c r="A504" s="388"/>
      <c r="B504" s="388"/>
      <c r="C504" s="388"/>
      <c r="D504" s="388"/>
      <c r="E504" s="388"/>
      <c r="F504" s="388"/>
      <c r="G504" s="388"/>
      <c r="H504" s="388"/>
      <c r="I504" s="388"/>
      <c r="J504" s="388"/>
      <c r="K504" s="388"/>
      <c r="L504" s="388"/>
      <c r="M504" s="388"/>
      <c r="N504" s="388"/>
      <c r="O504" s="388"/>
      <c r="P504" s="388"/>
      <c r="Q504" s="388"/>
      <c r="R504" s="388"/>
      <c r="S504" s="388"/>
      <c r="T504" s="388"/>
      <c r="U504" s="388"/>
      <c r="V504" s="388"/>
      <c r="AA504" s="256"/>
    </row>
    <row r="505">
      <c r="A505" s="388"/>
      <c r="B505" s="388"/>
      <c r="C505" s="388"/>
      <c r="D505" s="388"/>
      <c r="E505" s="388"/>
      <c r="F505" s="388"/>
      <c r="G505" s="388"/>
      <c r="H505" s="388"/>
      <c r="I505" s="388"/>
      <c r="J505" s="388"/>
      <c r="K505" s="388"/>
      <c r="L505" s="388"/>
      <c r="M505" s="388"/>
      <c r="N505" s="388"/>
      <c r="O505" s="388"/>
      <c r="P505" s="388"/>
      <c r="Q505" s="388"/>
      <c r="R505" s="388"/>
      <c r="S505" s="388"/>
      <c r="T505" s="388"/>
      <c r="U505" s="388"/>
      <c r="V505" s="388"/>
      <c r="AA505" s="256"/>
    </row>
    <row r="506">
      <c r="A506" s="388"/>
      <c r="B506" s="388"/>
      <c r="C506" s="388"/>
      <c r="D506" s="388"/>
      <c r="E506" s="388"/>
      <c r="F506" s="388"/>
      <c r="G506" s="388"/>
      <c r="H506" s="388"/>
      <c r="I506" s="388"/>
      <c r="J506" s="388"/>
      <c r="K506" s="388"/>
      <c r="L506" s="388"/>
      <c r="M506" s="388"/>
      <c r="N506" s="388"/>
      <c r="O506" s="388"/>
      <c r="P506" s="388"/>
      <c r="Q506" s="388"/>
      <c r="R506" s="388"/>
      <c r="S506" s="388"/>
      <c r="T506" s="388"/>
      <c r="U506" s="388"/>
      <c r="V506" s="388"/>
      <c r="AA506" s="256"/>
    </row>
    <row r="507">
      <c r="A507" s="388"/>
      <c r="B507" s="388"/>
      <c r="C507" s="388"/>
      <c r="D507" s="388"/>
      <c r="E507" s="388"/>
      <c r="F507" s="388"/>
      <c r="G507" s="388"/>
      <c r="H507" s="388"/>
      <c r="I507" s="388"/>
      <c r="J507" s="388"/>
      <c r="K507" s="388"/>
      <c r="L507" s="388"/>
      <c r="M507" s="388"/>
      <c r="N507" s="388"/>
      <c r="O507" s="388"/>
      <c r="P507" s="388"/>
      <c r="Q507" s="388"/>
      <c r="R507" s="388"/>
      <c r="S507" s="388"/>
      <c r="T507" s="388"/>
      <c r="U507" s="388"/>
      <c r="V507" s="388"/>
      <c r="AA507" s="256"/>
    </row>
    <row r="508">
      <c r="A508" s="388"/>
      <c r="B508" s="388"/>
      <c r="C508" s="388"/>
      <c r="D508" s="388"/>
      <c r="E508" s="388"/>
      <c r="F508" s="388"/>
      <c r="G508" s="388"/>
      <c r="H508" s="388"/>
      <c r="I508" s="388"/>
      <c r="J508" s="388"/>
      <c r="K508" s="388"/>
      <c r="L508" s="388"/>
      <c r="M508" s="388"/>
      <c r="N508" s="388"/>
      <c r="O508" s="388"/>
      <c r="P508" s="388"/>
      <c r="Q508" s="388"/>
      <c r="R508" s="388"/>
      <c r="S508" s="388"/>
      <c r="T508" s="388"/>
      <c r="U508" s="388"/>
      <c r="V508" s="388"/>
      <c r="AA508" s="256"/>
    </row>
    <row r="509">
      <c r="A509" s="388"/>
      <c r="B509" s="388"/>
      <c r="C509" s="388"/>
      <c r="D509" s="388"/>
      <c r="E509" s="388"/>
      <c r="F509" s="388"/>
      <c r="G509" s="388"/>
      <c r="H509" s="388"/>
      <c r="I509" s="388"/>
      <c r="J509" s="388"/>
      <c r="K509" s="388"/>
      <c r="L509" s="388"/>
      <c r="M509" s="388"/>
      <c r="N509" s="388"/>
      <c r="O509" s="388"/>
      <c r="P509" s="388"/>
      <c r="Q509" s="388"/>
      <c r="R509" s="388"/>
      <c r="S509" s="388"/>
      <c r="T509" s="388"/>
      <c r="U509" s="388"/>
      <c r="V509" s="388"/>
      <c r="AA509" s="256"/>
    </row>
    <row r="510">
      <c r="A510" s="388"/>
      <c r="B510" s="388"/>
      <c r="C510" s="388"/>
      <c r="D510" s="388"/>
      <c r="E510" s="388"/>
      <c r="F510" s="388"/>
      <c r="G510" s="388"/>
      <c r="H510" s="388"/>
      <c r="I510" s="388"/>
      <c r="J510" s="388"/>
      <c r="K510" s="388"/>
      <c r="L510" s="388"/>
      <c r="M510" s="388"/>
      <c r="N510" s="388"/>
      <c r="O510" s="388"/>
      <c r="P510" s="388"/>
      <c r="Q510" s="388"/>
      <c r="R510" s="388"/>
      <c r="S510" s="388"/>
      <c r="T510" s="388"/>
      <c r="U510" s="388"/>
      <c r="V510" s="388"/>
      <c r="AA510" s="256"/>
    </row>
    <row r="511">
      <c r="A511" s="388"/>
      <c r="B511" s="388"/>
      <c r="C511" s="388"/>
      <c r="D511" s="388"/>
      <c r="E511" s="388"/>
      <c r="F511" s="388"/>
      <c r="G511" s="388"/>
      <c r="H511" s="388"/>
      <c r="I511" s="388"/>
      <c r="J511" s="388"/>
      <c r="K511" s="388"/>
      <c r="L511" s="388"/>
      <c r="M511" s="388"/>
      <c r="N511" s="388"/>
      <c r="O511" s="388"/>
      <c r="P511" s="388"/>
      <c r="Q511" s="388"/>
      <c r="R511" s="388"/>
      <c r="S511" s="388"/>
      <c r="T511" s="388"/>
      <c r="U511" s="388"/>
      <c r="V511" s="388"/>
      <c r="AA511" s="256"/>
    </row>
    <row r="512">
      <c r="A512" s="388"/>
      <c r="B512" s="388"/>
      <c r="C512" s="388"/>
      <c r="D512" s="388"/>
      <c r="E512" s="388"/>
      <c r="F512" s="388"/>
      <c r="G512" s="388"/>
      <c r="H512" s="388"/>
      <c r="I512" s="388"/>
      <c r="J512" s="388"/>
      <c r="K512" s="388"/>
      <c r="L512" s="388"/>
      <c r="M512" s="388"/>
      <c r="N512" s="388"/>
      <c r="O512" s="388"/>
      <c r="P512" s="388"/>
      <c r="Q512" s="388"/>
      <c r="R512" s="388"/>
      <c r="S512" s="388"/>
      <c r="T512" s="388"/>
      <c r="U512" s="388"/>
      <c r="V512" s="388"/>
      <c r="AA512" s="256"/>
    </row>
    <row r="513">
      <c r="A513" s="388"/>
      <c r="B513" s="388"/>
      <c r="C513" s="388"/>
      <c r="D513" s="388"/>
      <c r="E513" s="388"/>
      <c r="F513" s="388"/>
      <c r="G513" s="388"/>
      <c r="H513" s="388"/>
      <c r="I513" s="388"/>
      <c r="J513" s="388"/>
      <c r="K513" s="388"/>
      <c r="L513" s="388"/>
      <c r="M513" s="388"/>
      <c r="N513" s="388"/>
      <c r="O513" s="388"/>
      <c r="P513" s="388"/>
      <c r="Q513" s="388"/>
      <c r="R513" s="388"/>
      <c r="S513" s="388"/>
      <c r="T513" s="388"/>
      <c r="U513" s="388"/>
      <c r="V513" s="388"/>
      <c r="AA513" s="256"/>
    </row>
    <row r="514">
      <c r="A514" s="388"/>
      <c r="B514" s="388"/>
      <c r="C514" s="388"/>
      <c r="D514" s="388"/>
      <c r="E514" s="388"/>
      <c r="F514" s="388"/>
      <c r="G514" s="388"/>
      <c r="H514" s="388"/>
      <c r="I514" s="388"/>
      <c r="J514" s="388"/>
      <c r="K514" s="388"/>
      <c r="L514" s="388"/>
      <c r="M514" s="388"/>
      <c r="N514" s="388"/>
      <c r="O514" s="388"/>
      <c r="P514" s="388"/>
      <c r="Q514" s="388"/>
      <c r="R514" s="388"/>
      <c r="S514" s="388"/>
      <c r="T514" s="388"/>
      <c r="U514" s="388"/>
      <c r="V514" s="388"/>
      <c r="AA514" s="256"/>
    </row>
    <row r="515">
      <c r="A515" s="388"/>
      <c r="B515" s="388"/>
      <c r="C515" s="388"/>
      <c r="D515" s="388"/>
      <c r="E515" s="388"/>
      <c r="F515" s="388"/>
      <c r="G515" s="388"/>
      <c r="H515" s="388"/>
      <c r="I515" s="388"/>
      <c r="J515" s="388"/>
      <c r="K515" s="388"/>
      <c r="L515" s="388"/>
      <c r="M515" s="388"/>
      <c r="N515" s="388"/>
      <c r="O515" s="388"/>
      <c r="P515" s="388"/>
      <c r="Q515" s="388"/>
      <c r="R515" s="388"/>
      <c r="S515" s="388"/>
      <c r="T515" s="388"/>
      <c r="U515" s="388"/>
      <c r="V515" s="388"/>
      <c r="AA515" s="256"/>
    </row>
    <row r="516">
      <c r="A516" s="388"/>
      <c r="B516" s="388"/>
      <c r="C516" s="388"/>
      <c r="D516" s="388"/>
      <c r="E516" s="388"/>
      <c r="F516" s="388"/>
      <c r="G516" s="388"/>
      <c r="H516" s="388"/>
      <c r="I516" s="388"/>
      <c r="J516" s="388"/>
      <c r="K516" s="388"/>
      <c r="L516" s="388"/>
      <c r="M516" s="388"/>
      <c r="N516" s="388"/>
      <c r="O516" s="388"/>
      <c r="P516" s="388"/>
      <c r="Q516" s="388"/>
      <c r="R516" s="388"/>
      <c r="S516" s="388"/>
      <c r="T516" s="388"/>
      <c r="U516" s="388"/>
      <c r="V516" s="388"/>
      <c r="AA516" s="256"/>
    </row>
    <row r="517">
      <c r="A517" s="388"/>
      <c r="B517" s="388"/>
      <c r="C517" s="388"/>
      <c r="D517" s="388"/>
      <c r="E517" s="388"/>
      <c r="F517" s="388"/>
      <c r="G517" s="388"/>
      <c r="H517" s="388"/>
      <c r="I517" s="388"/>
      <c r="J517" s="388"/>
      <c r="K517" s="388"/>
      <c r="L517" s="388"/>
      <c r="M517" s="388"/>
      <c r="N517" s="388"/>
      <c r="O517" s="388"/>
      <c r="P517" s="388"/>
      <c r="Q517" s="388"/>
      <c r="R517" s="388"/>
      <c r="S517" s="388"/>
      <c r="T517" s="388"/>
      <c r="U517" s="388"/>
      <c r="V517" s="388"/>
      <c r="AA517" s="256"/>
    </row>
    <row r="518">
      <c r="A518" s="388"/>
      <c r="B518" s="388"/>
      <c r="C518" s="388"/>
      <c r="D518" s="388"/>
      <c r="E518" s="388"/>
      <c r="F518" s="388"/>
      <c r="G518" s="388"/>
      <c r="H518" s="388"/>
      <c r="I518" s="388"/>
      <c r="J518" s="388"/>
      <c r="K518" s="388"/>
      <c r="L518" s="388"/>
      <c r="M518" s="388"/>
      <c r="N518" s="388"/>
      <c r="O518" s="388"/>
      <c r="P518" s="388"/>
      <c r="Q518" s="388"/>
      <c r="R518" s="388"/>
      <c r="S518" s="388"/>
      <c r="T518" s="388"/>
      <c r="U518" s="388"/>
      <c r="V518" s="388"/>
      <c r="AA518" s="256"/>
    </row>
    <row r="519">
      <c r="A519" s="388"/>
      <c r="B519" s="388"/>
      <c r="C519" s="388"/>
      <c r="D519" s="388"/>
      <c r="E519" s="388"/>
      <c r="F519" s="388"/>
      <c r="G519" s="388"/>
      <c r="H519" s="388"/>
      <c r="I519" s="388"/>
      <c r="J519" s="388"/>
      <c r="K519" s="388"/>
      <c r="L519" s="388"/>
      <c r="M519" s="388"/>
      <c r="N519" s="388"/>
      <c r="O519" s="388"/>
      <c r="P519" s="388"/>
      <c r="Q519" s="388"/>
      <c r="R519" s="388"/>
      <c r="S519" s="388"/>
      <c r="T519" s="388"/>
      <c r="U519" s="388"/>
      <c r="V519" s="388"/>
      <c r="AA519" s="256"/>
    </row>
    <row r="520">
      <c r="A520" s="388"/>
      <c r="B520" s="388"/>
      <c r="C520" s="388"/>
      <c r="D520" s="388"/>
      <c r="E520" s="388"/>
      <c r="F520" s="388"/>
      <c r="G520" s="388"/>
      <c r="H520" s="388"/>
      <c r="I520" s="388"/>
      <c r="J520" s="388"/>
      <c r="K520" s="388"/>
      <c r="L520" s="388"/>
      <c r="M520" s="388"/>
      <c r="N520" s="388"/>
      <c r="O520" s="388"/>
      <c r="P520" s="388"/>
      <c r="Q520" s="388"/>
      <c r="R520" s="388"/>
      <c r="S520" s="388"/>
      <c r="T520" s="388"/>
      <c r="U520" s="388"/>
      <c r="V520" s="388"/>
      <c r="AA520" s="256"/>
    </row>
    <row r="521">
      <c r="A521" s="388"/>
      <c r="B521" s="388"/>
      <c r="C521" s="388"/>
      <c r="D521" s="388"/>
      <c r="E521" s="388"/>
      <c r="F521" s="388"/>
      <c r="G521" s="388"/>
      <c r="H521" s="388"/>
      <c r="I521" s="388"/>
      <c r="J521" s="388"/>
      <c r="K521" s="388"/>
      <c r="L521" s="388"/>
      <c r="M521" s="388"/>
      <c r="N521" s="388"/>
      <c r="O521" s="388"/>
      <c r="P521" s="388"/>
      <c r="Q521" s="388"/>
      <c r="R521" s="388"/>
      <c r="S521" s="388"/>
      <c r="T521" s="388"/>
      <c r="U521" s="388"/>
      <c r="V521" s="388"/>
      <c r="AA521" s="256"/>
    </row>
    <row r="522">
      <c r="A522" s="388"/>
      <c r="B522" s="388"/>
      <c r="C522" s="388"/>
      <c r="D522" s="388"/>
      <c r="E522" s="388"/>
      <c r="F522" s="388"/>
      <c r="G522" s="388"/>
      <c r="H522" s="388"/>
      <c r="I522" s="388"/>
      <c r="J522" s="388"/>
      <c r="K522" s="388"/>
      <c r="L522" s="388"/>
      <c r="M522" s="388"/>
      <c r="N522" s="388"/>
      <c r="O522" s="388"/>
      <c r="P522" s="388"/>
      <c r="Q522" s="388"/>
      <c r="R522" s="388"/>
      <c r="S522" s="388"/>
      <c r="T522" s="388"/>
      <c r="U522" s="388"/>
      <c r="V522" s="388"/>
      <c r="AA522" s="256"/>
    </row>
    <row r="523">
      <c r="A523" s="388"/>
      <c r="B523" s="388"/>
      <c r="C523" s="388"/>
      <c r="D523" s="388"/>
      <c r="E523" s="388"/>
      <c r="F523" s="388"/>
      <c r="G523" s="388"/>
      <c r="H523" s="388"/>
      <c r="I523" s="388"/>
      <c r="J523" s="388"/>
      <c r="K523" s="388"/>
      <c r="L523" s="388"/>
      <c r="M523" s="388"/>
      <c r="N523" s="388"/>
      <c r="O523" s="388"/>
      <c r="P523" s="388"/>
      <c r="Q523" s="388"/>
      <c r="R523" s="388"/>
      <c r="S523" s="388"/>
      <c r="T523" s="388"/>
      <c r="U523" s="388"/>
      <c r="V523" s="388"/>
      <c r="AA523" s="256"/>
    </row>
    <row r="524">
      <c r="A524" s="388"/>
      <c r="B524" s="388"/>
      <c r="C524" s="388"/>
      <c r="D524" s="388"/>
      <c r="E524" s="388"/>
      <c r="F524" s="388"/>
      <c r="G524" s="388"/>
      <c r="H524" s="388"/>
      <c r="I524" s="388"/>
      <c r="J524" s="388"/>
      <c r="K524" s="388"/>
      <c r="L524" s="388"/>
      <c r="M524" s="388"/>
      <c r="N524" s="388"/>
      <c r="O524" s="388"/>
      <c r="P524" s="388"/>
      <c r="Q524" s="388"/>
      <c r="R524" s="388"/>
      <c r="S524" s="388"/>
      <c r="T524" s="388"/>
      <c r="U524" s="388"/>
      <c r="V524" s="388"/>
      <c r="AA524" s="256"/>
    </row>
    <row r="525">
      <c r="A525" s="388"/>
      <c r="B525" s="388"/>
      <c r="C525" s="388"/>
      <c r="D525" s="388"/>
      <c r="E525" s="388"/>
      <c r="F525" s="388"/>
      <c r="G525" s="388"/>
      <c r="H525" s="388"/>
      <c r="I525" s="388"/>
      <c r="J525" s="388"/>
      <c r="K525" s="388"/>
      <c r="L525" s="388"/>
      <c r="M525" s="388"/>
      <c r="N525" s="388"/>
      <c r="O525" s="388"/>
      <c r="P525" s="388"/>
      <c r="Q525" s="388"/>
      <c r="R525" s="388"/>
      <c r="S525" s="388"/>
      <c r="T525" s="388"/>
      <c r="U525" s="388"/>
      <c r="V525" s="388"/>
      <c r="AA525" s="256"/>
    </row>
    <row r="526">
      <c r="A526" s="388"/>
      <c r="B526" s="388"/>
      <c r="C526" s="388"/>
      <c r="D526" s="388"/>
      <c r="E526" s="388"/>
      <c r="F526" s="388"/>
      <c r="G526" s="388"/>
      <c r="H526" s="388"/>
      <c r="I526" s="388"/>
      <c r="J526" s="388"/>
      <c r="K526" s="388"/>
      <c r="L526" s="388"/>
      <c r="M526" s="388"/>
      <c r="N526" s="388"/>
      <c r="O526" s="388"/>
      <c r="P526" s="388"/>
      <c r="Q526" s="388"/>
      <c r="R526" s="388"/>
      <c r="S526" s="388"/>
      <c r="T526" s="388"/>
      <c r="U526" s="388"/>
      <c r="V526" s="388"/>
      <c r="AA526" s="256"/>
    </row>
    <row r="527">
      <c r="A527" s="388"/>
      <c r="B527" s="388"/>
      <c r="C527" s="388"/>
      <c r="D527" s="388"/>
      <c r="E527" s="388"/>
      <c r="F527" s="388"/>
      <c r="G527" s="388"/>
      <c r="H527" s="388"/>
      <c r="I527" s="388"/>
      <c r="J527" s="388"/>
      <c r="K527" s="388"/>
      <c r="L527" s="388"/>
      <c r="M527" s="388"/>
      <c r="N527" s="388"/>
      <c r="O527" s="388"/>
      <c r="P527" s="388"/>
      <c r="Q527" s="388"/>
      <c r="R527" s="388"/>
      <c r="S527" s="388"/>
      <c r="T527" s="388"/>
      <c r="U527" s="388"/>
      <c r="V527" s="388"/>
      <c r="AA527" s="256"/>
    </row>
    <row r="528">
      <c r="A528" s="388"/>
      <c r="B528" s="388"/>
      <c r="C528" s="388"/>
      <c r="D528" s="388"/>
      <c r="E528" s="388"/>
      <c r="F528" s="388"/>
      <c r="G528" s="388"/>
      <c r="H528" s="388"/>
      <c r="I528" s="388"/>
      <c r="J528" s="388"/>
      <c r="K528" s="388"/>
      <c r="L528" s="388"/>
      <c r="M528" s="388"/>
      <c r="N528" s="388"/>
      <c r="O528" s="388"/>
      <c r="P528" s="388"/>
      <c r="Q528" s="388"/>
      <c r="R528" s="388"/>
      <c r="S528" s="388"/>
      <c r="T528" s="388"/>
      <c r="U528" s="388"/>
      <c r="V528" s="388"/>
      <c r="AA528" s="256"/>
    </row>
    <row r="529">
      <c r="A529" s="388"/>
      <c r="B529" s="388"/>
      <c r="C529" s="388"/>
      <c r="D529" s="388"/>
      <c r="E529" s="388"/>
      <c r="F529" s="388"/>
      <c r="G529" s="388"/>
      <c r="H529" s="388"/>
      <c r="I529" s="388"/>
      <c r="J529" s="388"/>
      <c r="K529" s="388"/>
      <c r="L529" s="388"/>
      <c r="M529" s="388"/>
      <c r="N529" s="388"/>
      <c r="O529" s="388"/>
      <c r="P529" s="388"/>
      <c r="Q529" s="388"/>
      <c r="R529" s="388"/>
      <c r="S529" s="388"/>
      <c r="T529" s="388"/>
      <c r="U529" s="388"/>
      <c r="V529" s="388"/>
      <c r="AA529" s="256"/>
    </row>
    <row r="530">
      <c r="A530" s="388"/>
      <c r="B530" s="388"/>
      <c r="C530" s="388"/>
      <c r="D530" s="388"/>
      <c r="E530" s="388"/>
      <c r="F530" s="388"/>
      <c r="G530" s="388"/>
      <c r="H530" s="388"/>
      <c r="I530" s="388"/>
      <c r="J530" s="388"/>
      <c r="K530" s="388"/>
      <c r="L530" s="388"/>
      <c r="M530" s="388"/>
      <c r="N530" s="388"/>
      <c r="O530" s="388"/>
      <c r="P530" s="388"/>
      <c r="Q530" s="388"/>
      <c r="R530" s="388"/>
      <c r="S530" s="388"/>
      <c r="T530" s="388"/>
      <c r="U530" s="388"/>
      <c r="V530" s="388"/>
      <c r="AA530" s="256"/>
    </row>
    <row r="531">
      <c r="A531" s="388"/>
      <c r="B531" s="388"/>
      <c r="C531" s="388"/>
      <c r="D531" s="388"/>
      <c r="E531" s="388"/>
      <c r="F531" s="388"/>
      <c r="G531" s="388"/>
      <c r="H531" s="388"/>
      <c r="I531" s="388"/>
      <c r="J531" s="388"/>
      <c r="K531" s="388"/>
      <c r="L531" s="388"/>
      <c r="M531" s="388"/>
      <c r="N531" s="388"/>
      <c r="O531" s="388"/>
      <c r="P531" s="388"/>
      <c r="Q531" s="388"/>
      <c r="R531" s="388"/>
      <c r="S531" s="388"/>
      <c r="T531" s="388"/>
      <c r="U531" s="388"/>
      <c r="V531" s="388"/>
      <c r="AA531" s="256"/>
    </row>
    <row r="532">
      <c r="A532" s="388"/>
      <c r="B532" s="388"/>
      <c r="C532" s="388"/>
      <c r="D532" s="388"/>
      <c r="E532" s="388"/>
      <c r="F532" s="388"/>
      <c r="G532" s="388"/>
      <c r="H532" s="388"/>
      <c r="I532" s="388"/>
      <c r="J532" s="388"/>
      <c r="K532" s="388"/>
      <c r="L532" s="388"/>
      <c r="M532" s="388"/>
      <c r="N532" s="388"/>
      <c r="O532" s="388"/>
      <c r="P532" s="388"/>
      <c r="Q532" s="388"/>
      <c r="R532" s="388"/>
      <c r="S532" s="388"/>
      <c r="T532" s="388"/>
      <c r="U532" s="388"/>
      <c r="V532" s="388"/>
      <c r="AA532" s="256"/>
    </row>
    <row r="533">
      <c r="A533" s="388"/>
      <c r="B533" s="388"/>
      <c r="C533" s="388"/>
      <c r="D533" s="388"/>
      <c r="E533" s="388"/>
      <c r="F533" s="388"/>
      <c r="G533" s="388"/>
      <c r="H533" s="388"/>
      <c r="I533" s="388"/>
      <c r="J533" s="388"/>
      <c r="K533" s="388"/>
      <c r="L533" s="388"/>
      <c r="M533" s="388"/>
      <c r="N533" s="388"/>
      <c r="O533" s="388"/>
      <c r="P533" s="388"/>
      <c r="Q533" s="388"/>
      <c r="R533" s="388"/>
      <c r="S533" s="388"/>
      <c r="T533" s="388"/>
      <c r="U533" s="388"/>
      <c r="V533" s="388"/>
      <c r="AA533" s="256"/>
    </row>
    <row r="534">
      <c r="A534" s="388"/>
      <c r="B534" s="388"/>
      <c r="C534" s="388"/>
      <c r="D534" s="388"/>
      <c r="E534" s="388"/>
      <c r="F534" s="388"/>
      <c r="G534" s="388"/>
      <c r="H534" s="388"/>
      <c r="I534" s="388"/>
      <c r="J534" s="388"/>
      <c r="K534" s="388"/>
      <c r="L534" s="388"/>
      <c r="M534" s="388"/>
      <c r="N534" s="388"/>
      <c r="O534" s="388"/>
      <c r="P534" s="388"/>
      <c r="Q534" s="388"/>
      <c r="R534" s="388"/>
      <c r="S534" s="388"/>
      <c r="T534" s="388"/>
      <c r="U534" s="388"/>
      <c r="V534" s="388"/>
      <c r="AA534" s="256"/>
    </row>
    <row r="535">
      <c r="A535" s="388"/>
      <c r="B535" s="388"/>
      <c r="C535" s="388"/>
      <c r="D535" s="388"/>
      <c r="E535" s="388"/>
      <c r="F535" s="388"/>
      <c r="G535" s="388"/>
      <c r="H535" s="388"/>
      <c r="I535" s="388"/>
      <c r="J535" s="388"/>
      <c r="K535" s="388"/>
      <c r="L535" s="388"/>
      <c r="M535" s="388"/>
      <c r="N535" s="388"/>
      <c r="O535" s="388"/>
      <c r="P535" s="388"/>
      <c r="Q535" s="388"/>
      <c r="R535" s="388"/>
      <c r="S535" s="388"/>
      <c r="T535" s="388"/>
      <c r="U535" s="388"/>
      <c r="V535" s="388"/>
      <c r="AA535" s="256"/>
    </row>
    <row r="536">
      <c r="A536" s="388"/>
      <c r="B536" s="388"/>
      <c r="C536" s="388"/>
      <c r="D536" s="388"/>
      <c r="E536" s="388"/>
      <c r="F536" s="388"/>
      <c r="G536" s="388"/>
      <c r="H536" s="388"/>
      <c r="I536" s="388"/>
      <c r="J536" s="388"/>
      <c r="K536" s="388"/>
      <c r="L536" s="388"/>
      <c r="M536" s="388"/>
      <c r="N536" s="388"/>
      <c r="O536" s="388"/>
      <c r="P536" s="388"/>
      <c r="Q536" s="388"/>
      <c r="R536" s="388"/>
      <c r="S536" s="388"/>
      <c r="T536" s="388"/>
      <c r="U536" s="388"/>
      <c r="V536" s="388"/>
      <c r="AA536" s="256"/>
    </row>
    <row r="537">
      <c r="A537" s="388"/>
      <c r="B537" s="388"/>
      <c r="C537" s="388"/>
      <c r="D537" s="388"/>
      <c r="E537" s="388"/>
      <c r="F537" s="388"/>
      <c r="G537" s="388"/>
      <c r="H537" s="388"/>
      <c r="I537" s="388"/>
      <c r="J537" s="388"/>
      <c r="K537" s="388"/>
      <c r="L537" s="388"/>
      <c r="M537" s="388"/>
      <c r="N537" s="388"/>
      <c r="O537" s="388"/>
      <c r="P537" s="388"/>
      <c r="Q537" s="388"/>
      <c r="R537" s="388"/>
      <c r="S537" s="388"/>
      <c r="T537" s="388"/>
      <c r="U537" s="388"/>
      <c r="V537" s="388"/>
      <c r="AA537" s="256"/>
    </row>
    <row r="538">
      <c r="A538" s="388"/>
      <c r="B538" s="388"/>
      <c r="C538" s="388"/>
      <c r="D538" s="388"/>
      <c r="E538" s="388"/>
      <c r="F538" s="388"/>
      <c r="G538" s="388"/>
      <c r="H538" s="388"/>
      <c r="I538" s="388"/>
      <c r="J538" s="388"/>
      <c r="K538" s="388"/>
      <c r="L538" s="388"/>
      <c r="M538" s="388"/>
      <c r="N538" s="388"/>
      <c r="O538" s="388"/>
      <c r="P538" s="388"/>
      <c r="Q538" s="388"/>
      <c r="R538" s="388"/>
      <c r="S538" s="388"/>
      <c r="T538" s="388"/>
      <c r="U538" s="388"/>
      <c r="V538" s="388"/>
      <c r="AA538" s="256"/>
    </row>
    <row r="539">
      <c r="A539" s="388"/>
      <c r="B539" s="388"/>
      <c r="C539" s="388"/>
      <c r="D539" s="388"/>
      <c r="E539" s="388"/>
      <c r="F539" s="388"/>
      <c r="G539" s="388"/>
      <c r="H539" s="388"/>
      <c r="I539" s="388"/>
      <c r="J539" s="388"/>
      <c r="K539" s="388"/>
      <c r="L539" s="388"/>
      <c r="M539" s="388"/>
      <c r="N539" s="388"/>
      <c r="O539" s="388"/>
      <c r="P539" s="388"/>
      <c r="Q539" s="388"/>
      <c r="R539" s="388"/>
      <c r="S539" s="388"/>
      <c r="T539" s="388"/>
      <c r="U539" s="388"/>
      <c r="V539" s="388"/>
      <c r="AA539" s="256"/>
    </row>
    <row r="540">
      <c r="A540" s="388"/>
      <c r="B540" s="388"/>
      <c r="C540" s="388"/>
      <c r="D540" s="388"/>
      <c r="E540" s="388"/>
      <c r="F540" s="388"/>
      <c r="G540" s="388"/>
      <c r="H540" s="388"/>
      <c r="I540" s="388"/>
      <c r="J540" s="388"/>
      <c r="K540" s="388"/>
      <c r="L540" s="388"/>
      <c r="M540" s="388"/>
      <c r="N540" s="388"/>
      <c r="O540" s="388"/>
      <c r="P540" s="388"/>
      <c r="Q540" s="388"/>
      <c r="R540" s="388"/>
      <c r="S540" s="388"/>
      <c r="T540" s="388"/>
      <c r="U540" s="388"/>
      <c r="V540" s="388"/>
      <c r="AA540" s="256"/>
    </row>
    <row r="541">
      <c r="A541" s="388"/>
      <c r="B541" s="388"/>
      <c r="C541" s="388"/>
      <c r="D541" s="388"/>
      <c r="E541" s="388"/>
      <c r="F541" s="388"/>
      <c r="G541" s="388"/>
      <c r="H541" s="388"/>
      <c r="I541" s="388"/>
      <c r="J541" s="388"/>
      <c r="K541" s="388"/>
      <c r="L541" s="388"/>
      <c r="M541" s="388"/>
      <c r="N541" s="388"/>
      <c r="O541" s="388"/>
      <c r="P541" s="388"/>
      <c r="Q541" s="388"/>
      <c r="R541" s="388"/>
      <c r="S541" s="388"/>
      <c r="T541" s="388"/>
      <c r="U541" s="388"/>
      <c r="V541" s="388"/>
      <c r="AA541" s="256"/>
    </row>
    <row r="542">
      <c r="A542" s="388"/>
      <c r="B542" s="388"/>
      <c r="C542" s="388"/>
      <c r="D542" s="388"/>
      <c r="E542" s="388"/>
      <c r="F542" s="388"/>
      <c r="G542" s="388"/>
      <c r="H542" s="388"/>
      <c r="I542" s="388"/>
      <c r="J542" s="388"/>
      <c r="K542" s="388"/>
      <c r="L542" s="388"/>
      <c r="M542" s="388"/>
      <c r="N542" s="388"/>
      <c r="O542" s="388"/>
      <c r="P542" s="388"/>
      <c r="Q542" s="388"/>
      <c r="R542" s="388"/>
      <c r="S542" s="388"/>
      <c r="T542" s="388"/>
      <c r="U542" s="388"/>
      <c r="V542" s="388"/>
      <c r="AA542" s="256"/>
    </row>
    <row r="543">
      <c r="A543" s="388"/>
      <c r="B543" s="388"/>
      <c r="C543" s="388"/>
      <c r="D543" s="388"/>
      <c r="E543" s="388"/>
      <c r="F543" s="388"/>
      <c r="G543" s="388"/>
      <c r="H543" s="388"/>
      <c r="I543" s="388"/>
      <c r="J543" s="388"/>
      <c r="K543" s="388"/>
      <c r="L543" s="388"/>
      <c r="M543" s="388"/>
      <c r="N543" s="388"/>
      <c r="O543" s="388"/>
      <c r="P543" s="388"/>
      <c r="Q543" s="388"/>
      <c r="R543" s="388"/>
      <c r="S543" s="388"/>
      <c r="T543" s="388"/>
      <c r="U543" s="388"/>
      <c r="V543" s="388"/>
      <c r="AA543" s="256"/>
    </row>
    <row r="544">
      <c r="A544" s="388"/>
      <c r="B544" s="388"/>
      <c r="C544" s="388"/>
      <c r="D544" s="388"/>
      <c r="E544" s="388"/>
      <c r="F544" s="388"/>
      <c r="G544" s="388"/>
      <c r="H544" s="388"/>
      <c r="I544" s="388"/>
      <c r="J544" s="388"/>
      <c r="K544" s="388"/>
      <c r="L544" s="388"/>
      <c r="M544" s="388"/>
      <c r="N544" s="388"/>
      <c r="O544" s="388"/>
      <c r="P544" s="388"/>
      <c r="Q544" s="388"/>
      <c r="R544" s="388"/>
      <c r="S544" s="388"/>
      <c r="T544" s="388"/>
      <c r="U544" s="388"/>
      <c r="V544" s="388"/>
      <c r="AA544" s="256"/>
    </row>
    <row r="545">
      <c r="A545" s="388"/>
      <c r="B545" s="388"/>
      <c r="C545" s="388"/>
      <c r="D545" s="388"/>
      <c r="E545" s="388"/>
      <c r="F545" s="388"/>
      <c r="G545" s="388"/>
      <c r="H545" s="388"/>
      <c r="I545" s="388"/>
      <c r="J545" s="388"/>
      <c r="K545" s="388"/>
      <c r="L545" s="388"/>
      <c r="M545" s="388"/>
      <c r="N545" s="388"/>
      <c r="O545" s="388"/>
      <c r="P545" s="388"/>
      <c r="Q545" s="388"/>
      <c r="R545" s="388"/>
      <c r="S545" s="388"/>
      <c r="T545" s="388"/>
      <c r="U545" s="388"/>
      <c r="V545" s="388"/>
      <c r="AA545" s="256"/>
    </row>
    <row r="546">
      <c r="A546" s="388"/>
      <c r="B546" s="388"/>
      <c r="C546" s="388"/>
      <c r="D546" s="388"/>
      <c r="E546" s="388"/>
      <c r="F546" s="388"/>
      <c r="G546" s="388"/>
      <c r="H546" s="388"/>
      <c r="I546" s="388"/>
      <c r="J546" s="388"/>
      <c r="K546" s="388"/>
      <c r="L546" s="388"/>
      <c r="M546" s="388"/>
      <c r="N546" s="388"/>
      <c r="O546" s="388"/>
      <c r="P546" s="388"/>
      <c r="Q546" s="388"/>
      <c r="R546" s="388"/>
      <c r="S546" s="388"/>
      <c r="T546" s="388"/>
      <c r="U546" s="388"/>
      <c r="V546" s="388"/>
      <c r="AA546" s="256"/>
    </row>
    <row r="547">
      <c r="A547" s="388"/>
      <c r="B547" s="388"/>
      <c r="C547" s="388"/>
      <c r="D547" s="388"/>
      <c r="E547" s="388"/>
      <c r="F547" s="388"/>
      <c r="G547" s="388"/>
      <c r="H547" s="388"/>
      <c r="I547" s="388"/>
      <c r="J547" s="388"/>
      <c r="K547" s="388"/>
      <c r="L547" s="388"/>
      <c r="M547" s="388"/>
      <c r="N547" s="388"/>
      <c r="O547" s="388"/>
      <c r="P547" s="388"/>
      <c r="Q547" s="388"/>
      <c r="R547" s="388"/>
      <c r="S547" s="388"/>
      <c r="T547" s="388"/>
      <c r="U547" s="388"/>
      <c r="V547" s="388"/>
      <c r="AA547" s="256"/>
    </row>
    <row r="548">
      <c r="A548" s="388"/>
      <c r="B548" s="388"/>
      <c r="C548" s="388"/>
      <c r="D548" s="388"/>
      <c r="E548" s="388"/>
      <c r="F548" s="388"/>
      <c r="G548" s="388"/>
      <c r="H548" s="388"/>
      <c r="I548" s="388"/>
      <c r="J548" s="388"/>
      <c r="K548" s="388"/>
      <c r="L548" s="388"/>
      <c r="M548" s="388"/>
      <c r="N548" s="388"/>
      <c r="O548" s="388"/>
      <c r="P548" s="388"/>
      <c r="Q548" s="388"/>
      <c r="R548" s="388"/>
      <c r="S548" s="388"/>
      <c r="T548" s="388"/>
      <c r="U548" s="388"/>
      <c r="V548" s="388"/>
      <c r="AA548" s="256"/>
    </row>
    <row r="549">
      <c r="A549" s="388"/>
      <c r="B549" s="388"/>
      <c r="C549" s="388"/>
      <c r="D549" s="388"/>
      <c r="E549" s="388"/>
      <c r="F549" s="388"/>
      <c r="G549" s="388"/>
      <c r="H549" s="388"/>
      <c r="I549" s="388"/>
      <c r="J549" s="388"/>
      <c r="K549" s="388"/>
      <c r="L549" s="388"/>
      <c r="M549" s="388"/>
      <c r="N549" s="388"/>
      <c r="O549" s="388"/>
      <c r="P549" s="388"/>
      <c r="Q549" s="388"/>
      <c r="R549" s="388"/>
      <c r="S549" s="388"/>
      <c r="T549" s="388"/>
      <c r="U549" s="388"/>
      <c r="V549" s="388"/>
      <c r="AA549" s="256"/>
    </row>
    <row r="550">
      <c r="A550" s="388"/>
      <c r="B550" s="388"/>
      <c r="C550" s="388"/>
      <c r="D550" s="388"/>
      <c r="E550" s="388"/>
      <c r="F550" s="388"/>
      <c r="G550" s="388"/>
      <c r="H550" s="388"/>
      <c r="I550" s="388"/>
      <c r="J550" s="388"/>
      <c r="K550" s="388"/>
      <c r="L550" s="388"/>
      <c r="M550" s="388"/>
      <c r="N550" s="388"/>
      <c r="O550" s="388"/>
      <c r="P550" s="388"/>
      <c r="Q550" s="388"/>
      <c r="R550" s="388"/>
      <c r="S550" s="388"/>
      <c r="T550" s="388"/>
      <c r="U550" s="388"/>
      <c r="V550" s="388"/>
      <c r="AA550" s="256"/>
    </row>
    <row r="551">
      <c r="A551" s="388"/>
      <c r="B551" s="388"/>
      <c r="C551" s="388"/>
      <c r="D551" s="388"/>
      <c r="E551" s="388"/>
      <c r="F551" s="388"/>
      <c r="G551" s="388"/>
      <c r="H551" s="388"/>
      <c r="I551" s="388"/>
      <c r="J551" s="388"/>
      <c r="K551" s="388"/>
      <c r="L551" s="388"/>
      <c r="M551" s="388"/>
      <c r="N551" s="388"/>
      <c r="O551" s="388"/>
      <c r="P551" s="388"/>
      <c r="Q551" s="388"/>
      <c r="R551" s="388"/>
      <c r="S551" s="388"/>
      <c r="T551" s="388"/>
      <c r="U551" s="388"/>
      <c r="V551" s="388"/>
      <c r="AA551" s="256"/>
    </row>
    <row r="552">
      <c r="A552" s="388"/>
      <c r="B552" s="388"/>
      <c r="C552" s="388"/>
      <c r="D552" s="388"/>
      <c r="E552" s="388"/>
      <c r="F552" s="388"/>
      <c r="G552" s="388"/>
      <c r="H552" s="388"/>
      <c r="I552" s="388"/>
      <c r="J552" s="388"/>
      <c r="K552" s="388"/>
      <c r="L552" s="388"/>
      <c r="M552" s="388"/>
      <c r="N552" s="388"/>
      <c r="O552" s="388"/>
      <c r="P552" s="388"/>
      <c r="Q552" s="388"/>
      <c r="R552" s="388"/>
      <c r="S552" s="388"/>
      <c r="T552" s="388"/>
      <c r="U552" s="388"/>
      <c r="V552" s="388"/>
      <c r="AA552" s="256"/>
    </row>
    <row r="553">
      <c r="A553" s="388"/>
      <c r="B553" s="388"/>
      <c r="C553" s="388"/>
      <c r="D553" s="388"/>
      <c r="E553" s="388"/>
      <c r="F553" s="388"/>
      <c r="G553" s="388"/>
      <c r="H553" s="388"/>
      <c r="I553" s="388"/>
      <c r="J553" s="388"/>
      <c r="K553" s="388"/>
      <c r="L553" s="388"/>
      <c r="M553" s="388"/>
      <c r="N553" s="388"/>
      <c r="O553" s="388"/>
      <c r="P553" s="388"/>
      <c r="Q553" s="388"/>
      <c r="R553" s="388"/>
      <c r="S553" s="388"/>
      <c r="T553" s="388"/>
      <c r="U553" s="388"/>
      <c r="V553" s="388"/>
      <c r="AA553" s="256"/>
    </row>
    <row r="554">
      <c r="A554" s="388"/>
      <c r="B554" s="388"/>
      <c r="C554" s="388"/>
      <c r="D554" s="388"/>
      <c r="E554" s="388"/>
      <c r="F554" s="388"/>
      <c r="G554" s="388"/>
      <c r="H554" s="388"/>
      <c r="I554" s="388"/>
      <c r="J554" s="388"/>
      <c r="K554" s="388"/>
      <c r="L554" s="388"/>
      <c r="M554" s="388"/>
      <c r="N554" s="388"/>
      <c r="O554" s="388"/>
      <c r="P554" s="388"/>
      <c r="Q554" s="388"/>
      <c r="R554" s="388"/>
      <c r="S554" s="388"/>
      <c r="T554" s="388"/>
      <c r="U554" s="388"/>
      <c r="V554" s="388"/>
      <c r="AA554" s="256"/>
    </row>
    <row r="555">
      <c r="A555" s="388"/>
      <c r="B555" s="388"/>
      <c r="C555" s="388"/>
      <c r="D555" s="388"/>
      <c r="E555" s="388"/>
      <c r="F555" s="388"/>
      <c r="G555" s="388"/>
      <c r="H555" s="388"/>
      <c r="I555" s="388"/>
      <c r="J555" s="388"/>
      <c r="K555" s="388"/>
      <c r="L555" s="388"/>
      <c r="M555" s="388"/>
      <c r="N555" s="388"/>
      <c r="O555" s="388"/>
      <c r="P555" s="388"/>
      <c r="Q555" s="388"/>
      <c r="R555" s="388"/>
      <c r="S555" s="388"/>
      <c r="T555" s="388"/>
      <c r="U555" s="388"/>
      <c r="V555" s="388"/>
      <c r="AA555" s="256"/>
    </row>
    <row r="556">
      <c r="A556" s="388"/>
      <c r="B556" s="388"/>
      <c r="C556" s="388"/>
      <c r="D556" s="388"/>
      <c r="E556" s="388"/>
      <c r="F556" s="388"/>
      <c r="G556" s="388"/>
      <c r="H556" s="388"/>
      <c r="I556" s="388"/>
      <c r="J556" s="388"/>
      <c r="K556" s="388"/>
      <c r="L556" s="388"/>
      <c r="M556" s="388"/>
      <c r="N556" s="388"/>
      <c r="O556" s="388"/>
      <c r="P556" s="388"/>
      <c r="Q556" s="388"/>
      <c r="R556" s="388"/>
      <c r="S556" s="388"/>
      <c r="T556" s="388"/>
      <c r="U556" s="388"/>
      <c r="V556" s="388"/>
      <c r="AA556" s="256"/>
    </row>
    <row r="557">
      <c r="A557" s="388"/>
      <c r="B557" s="388"/>
      <c r="C557" s="388"/>
      <c r="D557" s="388"/>
      <c r="E557" s="388"/>
      <c r="F557" s="388"/>
      <c r="G557" s="388"/>
      <c r="H557" s="388"/>
      <c r="I557" s="388"/>
      <c r="J557" s="388"/>
      <c r="K557" s="388"/>
      <c r="L557" s="388"/>
      <c r="M557" s="388"/>
      <c r="N557" s="388"/>
      <c r="O557" s="388"/>
      <c r="P557" s="388"/>
      <c r="Q557" s="388"/>
      <c r="R557" s="388"/>
      <c r="S557" s="388"/>
      <c r="T557" s="388"/>
      <c r="U557" s="388"/>
      <c r="V557" s="388"/>
      <c r="AA557" s="256"/>
    </row>
    <row r="558">
      <c r="A558" s="388"/>
      <c r="B558" s="388"/>
      <c r="C558" s="388"/>
      <c r="D558" s="388"/>
      <c r="E558" s="388"/>
      <c r="F558" s="388"/>
      <c r="G558" s="388"/>
      <c r="H558" s="388"/>
      <c r="I558" s="388"/>
      <c r="J558" s="388"/>
      <c r="K558" s="388"/>
      <c r="L558" s="388"/>
      <c r="M558" s="388"/>
      <c r="N558" s="388"/>
      <c r="O558" s="388"/>
      <c r="P558" s="388"/>
      <c r="Q558" s="388"/>
      <c r="R558" s="388"/>
      <c r="S558" s="388"/>
      <c r="T558" s="388"/>
      <c r="U558" s="388"/>
      <c r="V558" s="388"/>
      <c r="AA558" s="256"/>
    </row>
    <row r="559">
      <c r="A559" s="388"/>
      <c r="B559" s="388"/>
      <c r="C559" s="388"/>
      <c r="D559" s="388"/>
      <c r="E559" s="388"/>
      <c r="F559" s="388"/>
      <c r="G559" s="388"/>
      <c r="H559" s="388"/>
      <c r="I559" s="388"/>
      <c r="J559" s="388"/>
      <c r="K559" s="388"/>
      <c r="L559" s="388"/>
      <c r="M559" s="388"/>
      <c r="N559" s="388"/>
      <c r="O559" s="388"/>
      <c r="P559" s="388"/>
      <c r="Q559" s="388"/>
      <c r="R559" s="388"/>
      <c r="S559" s="388"/>
      <c r="T559" s="388"/>
      <c r="U559" s="388"/>
      <c r="V559" s="388"/>
      <c r="AA559" s="256"/>
    </row>
    <row r="560">
      <c r="A560" s="388"/>
      <c r="B560" s="388"/>
      <c r="C560" s="388"/>
      <c r="D560" s="388"/>
      <c r="E560" s="388"/>
      <c r="F560" s="388"/>
      <c r="G560" s="388"/>
      <c r="H560" s="388"/>
      <c r="I560" s="388"/>
      <c r="J560" s="388"/>
      <c r="K560" s="388"/>
      <c r="L560" s="388"/>
      <c r="M560" s="388"/>
      <c r="N560" s="388"/>
      <c r="O560" s="388"/>
      <c r="P560" s="388"/>
      <c r="Q560" s="388"/>
      <c r="R560" s="388"/>
      <c r="S560" s="388"/>
      <c r="T560" s="388"/>
      <c r="U560" s="388"/>
      <c r="V560" s="388"/>
      <c r="AA560" s="256"/>
    </row>
    <row r="561">
      <c r="A561" s="388"/>
      <c r="B561" s="388"/>
      <c r="C561" s="388"/>
      <c r="D561" s="388"/>
      <c r="E561" s="388"/>
      <c r="F561" s="388"/>
      <c r="G561" s="388"/>
      <c r="H561" s="388"/>
      <c r="I561" s="388"/>
      <c r="J561" s="388"/>
      <c r="K561" s="388"/>
      <c r="L561" s="388"/>
      <c r="M561" s="388"/>
      <c r="N561" s="388"/>
      <c r="O561" s="388"/>
      <c r="P561" s="388"/>
      <c r="Q561" s="388"/>
      <c r="R561" s="388"/>
      <c r="S561" s="388"/>
      <c r="T561" s="388"/>
      <c r="U561" s="388"/>
      <c r="V561" s="388"/>
      <c r="AA561" s="256"/>
    </row>
    <row r="562">
      <c r="A562" s="388"/>
      <c r="B562" s="388"/>
      <c r="C562" s="388"/>
      <c r="D562" s="388"/>
      <c r="E562" s="388"/>
      <c r="F562" s="388"/>
      <c r="G562" s="388"/>
      <c r="H562" s="388"/>
      <c r="I562" s="388"/>
      <c r="J562" s="388"/>
      <c r="K562" s="388"/>
      <c r="L562" s="388"/>
      <c r="M562" s="388"/>
      <c r="N562" s="388"/>
      <c r="O562" s="388"/>
      <c r="P562" s="388"/>
      <c r="Q562" s="388"/>
      <c r="R562" s="388"/>
      <c r="S562" s="388"/>
      <c r="T562" s="388"/>
      <c r="U562" s="388"/>
      <c r="V562" s="388"/>
      <c r="AA562" s="256"/>
    </row>
    <row r="563">
      <c r="A563" s="388"/>
      <c r="B563" s="388"/>
      <c r="C563" s="388"/>
      <c r="D563" s="388"/>
      <c r="E563" s="388"/>
      <c r="F563" s="388"/>
      <c r="G563" s="388"/>
      <c r="H563" s="388"/>
      <c r="I563" s="388"/>
      <c r="J563" s="388"/>
      <c r="K563" s="388"/>
      <c r="L563" s="388"/>
      <c r="M563" s="388"/>
      <c r="N563" s="388"/>
      <c r="O563" s="388"/>
      <c r="P563" s="388"/>
      <c r="Q563" s="388"/>
      <c r="R563" s="388"/>
      <c r="S563" s="388"/>
      <c r="T563" s="388"/>
      <c r="U563" s="388"/>
      <c r="V563" s="388"/>
      <c r="AA563" s="256"/>
    </row>
    <row r="564">
      <c r="A564" s="388"/>
      <c r="B564" s="388"/>
      <c r="C564" s="388"/>
      <c r="D564" s="388"/>
      <c r="E564" s="388"/>
      <c r="F564" s="388"/>
      <c r="G564" s="388"/>
      <c r="H564" s="388"/>
      <c r="I564" s="388"/>
      <c r="J564" s="388"/>
      <c r="K564" s="388"/>
      <c r="L564" s="388"/>
      <c r="M564" s="388"/>
      <c r="N564" s="388"/>
      <c r="O564" s="388"/>
      <c r="P564" s="388"/>
      <c r="Q564" s="388"/>
      <c r="R564" s="388"/>
      <c r="S564" s="388"/>
      <c r="T564" s="388"/>
      <c r="U564" s="388"/>
      <c r="V564" s="388"/>
      <c r="AA564" s="256"/>
    </row>
    <row r="565">
      <c r="A565" s="388"/>
      <c r="B565" s="388"/>
      <c r="C565" s="388"/>
      <c r="D565" s="388"/>
      <c r="E565" s="388"/>
      <c r="F565" s="388"/>
      <c r="G565" s="388"/>
      <c r="H565" s="388"/>
      <c r="I565" s="388"/>
      <c r="J565" s="388"/>
      <c r="K565" s="388"/>
      <c r="L565" s="388"/>
      <c r="M565" s="388"/>
      <c r="N565" s="388"/>
      <c r="O565" s="388"/>
      <c r="P565" s="388"/>
      <c r="Q565" s="388"/>
      <c r="R565" s="388"/>
      <c r="S565" s="388"/>
      <c r="T565" s="388"/>
      <c r="U565" s="388"/>
      <c r="V565" s="388"/>
      <c r="AA565" s="256"/>
    </row>
    <row r="566">
      <c r="A566" s="388"/>
      <c r="B566" s="388"/>
      <c r="C566" s="388"/>
      <c r="D566" s="388"/>
      <c r="E566" s="388"/>
      <c r="F566" s="388"/>
      <c r="G566" s="388"/>
      <c r="H566" s="388"/>
      <c r="I566" s="388"/>
      <c r="J566" s="388"/>
      <c r="K566" s="388"/>
      <c r="L566" s="388"/>
      <c r="M566" s="388"/>
      <c r="N566" s="388"/>
      <c r="O566" s="388"/>
      <c r="P566" s="388"/>
      <c r="Q566" s="388"/>
      <c r="R566" s="388"/>
      <c r="S566" s="388"/>
      <c r="T566" s="388"/>
      <c r="U566" s="388"/>
      <c r="V566" s="388"/>
      <c r="AA566" s="256"/>
    </row>
    <row r="567">
      <c r="A567" s="388"/>
      <c r="B567" s="388"/>
      <c r="C567" s="388"/>
      <c r="D567" s="388"/>
      <c r="E567" s="388"/>
      <c r="F567" s="388"/>
      <c r="G567" s="388"/>
      <c r="H567" s="388"/>
      <c r="I567" s="388"/>
      <c r="J567" s="388"/>
      <c r="K567" s="388"/>
      <c r="L567" s="388"/>
      <c r="M567" s="388"/>
      <c r="N567" s="388"/>
      <c r="O567" s="388"/>
      <c r="P567" s="388"/>
      <c r="Q567" s="388"/>
      <c r="R567" s="388"/>
      <c r="S567" s="388"/>
      <c r="T567" s="388"/>
      <c r="U567" s="388"/>
      <c r="V567" s="388"/>
      <c r="AA567" s="256"/>
    </row>
    <row r="568">
      <c r="A568" s="388"/>
      <c r="B568" s="388"/>
      <c r="C568" s="388"/>
      <c r="D568" s="388"/>
      <c r="E568" s="388"/>
      <c r="F568" s="388"/>
      <c r="G568" s="388"/>
      <c r="H568" s="388"/>
      <c r="I568" s="388"/>
      <c r="J568" s="388"/>
      <c r="K568" s="388"/>
      <c r="L568" s="388"/>
      <c r="M568" s="388"/>
      <c r="N568" s="388"/>
      <c r="O568" s="388"/>
      <c r="P568" s="388"/>
      <c r="Q568" s="388"/>
      <c r="R568" s="388"/>
      <c r="S568" s="388"/>
      <c r="T568" s="388"/>
      <c r="U568" s="388"/>
      <c r="V568" s="388"/>
      <c r="AA568" s="256"/>
    </row>
    <row r="569">
      <c r="A569" s="388"/>
      <c r="B569" s="388"/>
      <c r="C569" s="388"/>
      <c r="D569" s="388"/>
      <c r="E569" s="388"/>
      <c r="F569" s="388"/>
      <c r="G569" s="388"/>
      <c r="H569" s="388"/>
      <c r="I569" s="388"/>
      <c r="J569" s="388"/>
      <c r="K569" s="388"/>
      <c r="L569" s="388"/>
      <c r="M569" s="388"/>
      <c r="N569" s="388"/>
      <c r="O569" s="388"/>
      <c r="P569" s="388"/>
      <c r="Q569" s="388"/>
      <c r="R569" s="388"/>
      <c r="S569" s="388"/>
      <c r="T569" s="388"/>
      <c r="U569" s="388"/>
      <c r="V569" s="388"/>
      <c r="AA569" s="256"/>
    </row>
    <row r="570">
      <c r="A570" s="388"/>
      <c r="B570" s="388"/>
      <c r="C570" s="388"/>
      <c r="D570" s="388"/>
      <c r="E570" s="388"/>
      <c r="F570" s="388"/>
      <c r="G570" s="388"/>
      <c r="H570" s="388"/>
      <c r="I570" s="388"/>
      <c r="J570" s="388"/>
      <c r="K570" s="388"/>
      <c r="L570" s="388"/>
      <c r="M570" s="388"/>
      <c r="N570" s="388"/>
      <c r="O570" s="388"/>
      <c r="P570" s="388"/>
      <c r="Q570" s="388"/>
      <c r="R570" s="388"/>
      <c r="S570" s="388"/>
      <c r="T570" s="388"/>
      <c r="U570" s="388"/>
      <c r="V570" s="388"/>
      <c r="AA570" s="256"/>
    </row>
    <row r="571">
      <c r="A571" s="388"/>
      <c r="B571" s="388"/>
      <c r="C571" s="388"/>
      <c r="D571" s="388"/>
      <c r="E571" s="388"/>
      <c r="F571" s="388"/>
      <c r="G571" s="388"/>
      <c r="H571" s="388"/>
      <c r="I571" s="388"/>
      <c r="J571" s="388"/>
      <c r="K571" s="388"/>
      <c r="L571" s="388"/>
      <c r="M571" s="388"/>
      <c r="N571" s="388"/>
      <c r="O571" s="388"/>
      <c r="P571" s="388"/>
      <c r="Q571" s="388"/>
      <c r="R571" s="388"/>
      <c r="S571" s="388"/>
      <c r="T571" s="388"/>
      <c r="U571" s="388"/>
      <c r="V571" s="388"/>
      <c r="AA571" s="256"/>
    </row>
    <row r="572">
      <c r="A572" s="388"/>
      <c r="B572" s="388"/>
      <c r="C572" s="388"/>
      <c r="D572" s="388"/>
      <c r="E572" s="388"/>
      <c r="F572" s="388"/>
      <c r="G572" s="388"/>
      <c r="H572" s="388"/>
      <c r="I572" s="388"/>
      <c r="J572" s="388"/>
      <c r="K572" s="388"/>
      <c r="L572" s="388"/>
      <c r="M572" s="388"/>
      <c r="N572" s="388"/>
      <c r="O572" s="388"/>
      <c r="P572" s="388"/>
      <c r="Q572" s="388"/>
      <c r="R572" s="388"/>
      <c r="S572" s="388"/>
      <c r="T572" s="388"/>
      <c r="U572" s="388"/>
      <c r="V572" s="388"/>
      <c r="AA572" s="256"/>
    </row>
    <row r="573">
      <c r="A573" s="388"/>
      <c r="B573" s="388"/>
      <c r="C573" s="388"/>
      <c r="D573" s="388"/>
      <c r="E573" s="388"/>
      <c r="F573" s="388"/>
      <c r="G573" s="388"/>
      <c r="H573" s="388"/>
      <c r="I573" s="388"/>
      <c r="J573" s="388"/>
      <c r="K573" s="388"/>
      <c r="L573" s="388"/>
      <c r="M573" s="388"/>
      <c r="N573" s="388"/>
      <c r="O573" s="388"/>
      <c r="P573" s="388"/>
      <c r="Q573" s="388"/>
      <c r="R573" s="388"/>
      <c r="S573" s="388"/>
      <c r="T573" s="388"/>
      <c r="U573" s="388"/>
      <c r="V573" s="388"/>
      <c r="AA573" s="256"/>
    </row>
    <row r="574">
      <c r="A574" s="388"/>
      <c r="B574" s="388"/>
      <c r="C574" s="388"/>
      <c r="D574" s="388"/>
      <c r="E574" s="388"/>
      <c r="F574" s="388"/>
      <c r="G574" s="388"/>
      <c r="H574" s="388"/>
      <c r="I574" s="388"/>
      <c r="J574" s="388"/>
      <c r="K574" s="388"/>
      <c r="L574" s="388"/>
      <c r="M574" s="388"/>
      <c r="N574" s="388"/>
      <c r="O574" s="388"/>
      <c r="P574" s="388"/>
      <c r="Q574" s="388"/>
      <c r="R574" s="388"/>
      <c r="S574" s="388"/>
      <c r="T574" s="388"/>
      <c r="U574" s="388"/>
      <c r="V574" s="388"/>
      <c r="AA574" s="256"/>
    </row>
    <row r="575">
      <c r="A575" s="388"/>
      <c r="B575" s="388"/>
      <c r="C575" s="388"/>
      <c r="D575" s="388"/>
      <c r="E575" s="388"/>
      <c r="F575" s="388"/>
      <c r="G575" s="388"/>
      <c r="H575" s="388"/>
      <c r="I575" s="388"/>
      <c r="J575" s="388"/>
      <c r="K575" s="388"/>
      <c r="L575" s="388"/>
      <c r="M575" s="388"/>
      <c r="N575" s="388"/>
      <c r="O575" s="388"/>
      <c r="P575" s="388"/>
      <c r="Q575" s="388"/>
      <c r="R575" s="388"/>
      <c r="S575" s="388"/>
      <c r="T575" s="388"/>
      <c r="U575" s="388"/>
      <c r="V575" s="388"/>
      <c r="AA575" s="256"/>
    </row>
    <row r="576">
      <c r="A576" s="388"/>
      <c r="B576" s="388"/>
      <c r="C576" s="388"/>
      <c r="D576" s="388"/>
      <c r="E576" s="388"/>
      <c r="F576" s="388"/>
      <c r="G576" s="388"/>
      <c r="H576" s="388"/>
      <c r="I576" s="388"/>
      <c r="J576" s="388"/>
      <c r="K576" s="388"/>
      <c r="L576" s="388"/>
      <c r="M576" s="388"/>
      <c r="N576" s="388"/>
      <c r="O576" s="388"/>
      <c r="P576" s="388"/>
      <c r="Q576" s="388"/>
      <c r="R576" s="388"/>
      <c r="S576" s="388"/>
      <c r="T576" s="388"/>
      <c r="U576" s="388"/>
      <c r="V576" s="388"/>
      <c r="AA576" s="256"/>
    </row>
    <row r="577">
      <c r="A577" s="388"/>
      <c r="B577" s="388"/>
      <c r="C577" s="388"/>
      <c r="D577" s="388"/>
      <c r="E577" s="388"/>
      <c r="F577" s="388"/>
      <c r="G577" s="388"/>
      <c r="H577" s="388"/>
      <c r="I577" s="388"/>
      <c r="J577" s="388"/>
      <c r="K577" s="388"/>
      <c r="L577" s="388"/>
      <c r="M577" s="388"/>
      <c r="N577" s="388"/>
      <c r="O577" s="388"/>
      <c r="P577" s="388"/>
      <c r="Q577" s="388"/>
      <c r="R577" s="388"/>
      <c r="S577" s="388"/>
      <c r="T577" s="388"/>
      <c r="U577" s="388"/>
      <c r="V577" s="388"/>
      <c r="AA577" s="256"/>
    </row>
    <row r="578">
      <c r="A578" s="388"/>
      <c r="B578" s="388"/>
      <c r="C578" s="388"/>
      <c r="D578" s="388"/>
      <c r="E578" s="388"/>
      <c r="F578" s="388"/>
      <c r="G578" s="388"/>
      <c r="H578" s="388"/>
      <c r="I578" s="388"/>
      <c r="J578" s="388"/>
      <c r="K578" s="388"/>
      <c r="L578" s="388"/>
      <c r="M578" s="388"/>
      <c r="N578" s="388"/>
      <c r="O578" s="388"/>
      <c r="P578" s="388"/>
      <c r="Q578" s="388"/>
      <c r="R578" s="388"/>
      <c r="S578" s="388"/>
      <c r="T578" s="388"/>
      <c r="U578" s="388"/>
      <c r="V578" s="388"/>
      <c r="AA578" s="256"/>
    </row>
    <row r="579">
      <c r="A579" s="388"/>
      <c r="B579" s="388"/>
      <c r="C579" s="388"/>
      <c r="D579" s="388"/>
      <c r="E579" s="388"/>
      <c r="F579" s="388"/>
      <c r="G579" s="388"/>
      <c r="H579" s="388"/>
      <c r="I579" s="388"/>
      <c r="J579" s="388"/>
      <c r="K579" s="388"/>
      <c r="L579" s="388"/>
      <c r="M579" s="388"/>
      <c r="N579" s="388"/>
      <c r="O579" s="388"/>
      <c r="P579" s="388"/>
      <c r="Q579" s="388"/>
      <c r="R579" s="388"/>
      <c r="S579" s="388"/>
      <c r="T579" s="388"/>
      <c r="U579" s="388"/>
      <c r="V579" s="388"/>
      <c r="AA579" s="256"/>
    </row>
    <row r="580">
      <c r="A580" s="388"/>
      <c r="B580" s="388"/>
      <c r="C580" s="388"/>
      <c r="D580" s="388"/>
      <c r="E580" s="388"/>
      <c r="F580" s="388"/>
      <c r="G580" s="388"/>
      <c r="H580" s="388"/>
      <c r="I580" s="388"/>
      <c r="J580" s="388"/>
      <c r="K580" s="388"/>
      <c r="L580" s="388"/>
      <c r="M580" s="388"/>
      <c r="N580" s="388"/>
      <c r="O580" s="388"/>
      <c r="P580" s="388"/>
      <c r="Q580" s="388"/>
      <c r="R580" s="388"/>
      <c r="S580" s="388"/>
      <c r="T580" s="388"/>
      <c r="U580" s="388"/>
      <c r="V580" s="388"/>
      <c r="AA580" s="256"/>
    </row>
    <row r="581">
      <c r="A581" s="388"/>
      <c r="B581" s="388"/>
      <c r="C581" s="388"/>
      <c r="D581" s="388"/>
      <c r="E581" s="388"/>
      <c r="F581" s="388"/>
      <c r="G581" s="388"/>
      <c r="H581" s="388"/>
      <c r="I581" s="388"/>
      <c r="J581" s="388"/>
      <c r="K581" s="388"/>
      <c r="L581" s="388"/>
      <c r="M581" s="388"/>
      <c r="N581" s="388"/>
      <c r="O581" s="388"/>
      <c r="P581" s="388"/>
      <c r="Q581" s="388"/>
      <c r="R581" s="388"/>
      <c r="S581" s="388"/>
      <c r="T581" s="388"/>
      <c r="U581" s="388"/>
      <c r="V581" s="388"/>
      <c r="AA581" s="256"/>
    </row>
    <row r="582">
      <c r="A582" s="388"/>
      <c r="B582" s="388"/>
      <c r="C582" s="388"/>
      <c r="D582" s="388"/>
      <c r="E582" s="388"/>
      <c r="F582" s="388"/>
      <c r="G582" s="388"/>
      <c r="H582" s="388"/>
      <c r="I582" s="388"/>
      <c r="J582" s="388"/>
      <c r="K582" s="388"/>
      <c r="L582" s="388"/>
      <c r="M582" s="388"/>
      <c r="N582" s="388"/>
      <c r="O582" s="388"/>
      <c r="P582" s="388"/>
      <c r="Q582" s="388"/>
      <c r="R582" s="388"/>
      <c r="S582" s="388"/>
      <c r="T582" s="388"/>
      <c r="U582" s="388"/>
      <c r="V582" s="388"/>
      <c r="AA582" s="256"/>
    </row>
    <row r="583">
      <c r="A583" s="388"/>
      <c r="B583" s="388"/>
      <c r="C583" s="388"/>
      <c r="D583" s="388"/>
      <c r="E583" s="388"/>
      <c r="F583" s="388"/>
      <c r="G583" s="388"/>
      <c r="H583" s="388"/>
      <c r="I583" s="388"/>
      <c r="J583" s="388"/>
      <c r="K583" s="388"/>
      <c r="L583" s="388"/>
      <c r="M583" s="388"/>
      <c r="N583" s="388"/>
      <c r="O583" s="388"/>
      <c r="P583" s="388"/>
      <c r="Q583" s="388"/>
      <c r="R583" s="388"/>
      <c r="S583" s="388"/>
      <c r="T583" s="388"/>
      <c r="U583" s="388"/>
      <c r="V583" s="388"/>
      <c r="AA583" s="256"/>
    </row>
    <row r="584">
      <c r="A584" s="388"/>
      <c r="B584" s="388"/>
      <c r="C584" s="388"/>
      <c r="D584" s="388"/>
      <c r="E584" s="388"/>
      <c r="F584" s="388"/>
      <c r="G584" s="388"/>
      <c r="H584" s="388"/>
      <c r="I584" s="388"/>
      <c r="J584" s="388"/>
      <c r="K584" s="388"/>
      <c r="L584" s="388"/>
      <c r="M584" s="388"/>
      <c r="N584" s="388"/>
      <c r="O584" s="388"/>
      <c r="P584" s="388"/>
      <c r="Q584" s="388"/>
      <c r="R584" s="388"/>
      <c r="S584" s="388"/>
      <c r="T584" s="388"/>
      <c r="U584" s="388"/>
      <c r="V584" s="388"/>
      <c r="AA584" s="256"/>
    </row>
    <row r="585">
      <c r="A585" s="388"/>
      <c r="B585" s="388"/>
      <c r="C585" s="388"/>
      <c r="D585" s="388"/>
      <c r="E585" s="388"/>
      <c r="F585" s="388"/>
      <c r="G585" s="388"/>
      <c r="H585" s="388"/>
      <c r="I585" s="388"/>
      <c r="J585" s="388"/>
      <c r="K585" s="388"/>
      <c r="L585" s="388"/>
      <c r="M585" s="388"/>
      <c r="N585" s="388"/>
      <c r="O585" s="388"/>
      <c r="P585" s="388"/>
      <c r="Q585" s="388"/>
      <c r="R585" s="388"/>
      <c r="S585" s="388"/>
      <c r="T585" s="388"/>
      <c r="U585" s="388"/>
      <c r="V585" s="388"/>
      <c r="AA585" s="256"/>
    </row>
    <row r="586">
      <c r="A586" s="388"/>
      <c r="B586" s="388"/>
      <c r="C586" s="388"/>
      <c r="D586" s="388"/>
      <c r="E586" s="388"/>
      <c r="F586" s="388"/>
      <c r="G586" s="388"/>
      <c r="H586" s="388"/>
      <c r="I586" s="388"/>
      <c r="J586" s="388"/>
      <c r="K586" s="388"/>
      <c r="L586" s="388"/>
      <c r="M586" s="388"/>
      <c r="N586" s="388"/>
      <c r="O586" s="388"/>
      <c r="P586" s="388"/>
      <c r="Q586" s="388"/>
      <c r="R586" s="388"/>
      <c r="S586" s="388"/>
      <c r="T586" s="388"/>
      <c r="U586" s="388"/>
      <c r="V586" s="388"/>
      <c r="AA586" s="256"/>
    </row>
    <row r="587">
      <c r="A587" s="388"/>
      <c r="B587" s="388"/>
      <c r="C587" s="388"/>
      <c r="D587" s="388"/>
      <c r="E587" s="388"/>
      <c r="F587" s="388"/>
      <c r="G587" s="388"/>
      <c r="H587" s="388"/>
      <c r="I587" s="388"/>
      <c r="J587" s="388"/>
      <c r="K587" s="388"/>
      <c r="L587" s="388"/>
      <c r="M587" s="388"/>
      <c r="N587" s="388"/>
      <c r="O587" s="388"/>
      <c r="P587" s="388"/>
      <c r="Q587" s="388"/>
      <c r="R587" s="388"/>
      <c r="S587" s="388"/>
      <c r="T587" s="388"/>
      <c r="U587" s="388"/>
      <c r="V587" s="388"/>
      <c r="AA587" s="256"/>
    </row>
    <row r="588">
      <c r="A588" s="388"/>
      <c r="B588" s="388"/>
      <c r="C588" s="388"/>
      <c r="D588" s="388"/>
      <c r="E588" s="388"/>
      <c r="F588" s="388"/>
      <c r="G588" s="388"/>
      <c r="H588" s="388"/>
      <c r="I588" s="388"/>
      <c r="J588" s="388"/>
      <c r="K588" s="388"/>
      <c r="L588" s="388"/>
      <c r="M588" s="388"/>
      <c r="N588" s="388"/>
      <c r="O588" s="388"/>
      <c r="P588" s="388"/>
      <c r="Q588" s="388"/>
      <c r="R588" s="388"/>
      <c r="S588" s="388"/>
      <c r="T588" s="388"/>
      <c r="U588" s="388"/>
      <c r="V588" s="388"/>
      <c r="AA588" s="256"/>
    </row>
    <row r="589">
      <c r="A589" s="388"/>
      <c r="B589" s="388"/>
      <c r="C589" s="388"/>
      <c r="D589" s="388"/>
      <c r="E589" s="388"/>
      <c r="F589" s="388"/>
      <c r="G589" s="388"/>
      <c r="H589" s="388"/>
      <c r="I589" s="388"/>
      <c r="J589" s="388"/>
      <c r="K589" s="388"/>
      <c r="L589" s="388"/>
      <c r="M589" s="388"/>
      <c r="N589" s="388"/>
      <c r="O589" s="388"/>
      <c r="P589" s="388"/>
      <c r="Q589" s="388"/>
      <c r="R589" s="388"/>
      <c r="S589" s="388"/>
      <c r="T589" s="388"/>
      <c r="U589" s="388"/>
      <c r="V589" s="388"/>
      <c r="AA589" s="256"/>
    </row>
    <row r="590">
      <c r="A590" s="388"/>
      <c r="B590" s="388"/>
      <c r="C590" s="388"/>
      <c r="D590" s="388"/>
      <c r="E590" s="388"/>
      <c r="F590" s="388"/>
      <c r="G590" s="388"/>
      <c r="H590" s="388"/>
      <c r="I590" s="388"/>
      <c r="J590" s="388"/>
      <c r="K590" s="388"/>
      <c r="L590" s="388"/>
      <c r="M590" s="388"/>
      <c r="N590" s="388"/>
      <c r="O590" s="388"/>
      <c r="P590" s="388"/>
      <c r="Q590" s="388"/>
      <c r="R590" s="388"/>
      <c r="S590" s="388"/>
      <c r="T590" s="388"/>
      <c r="U590" s="388"/>
      <c r="V590" s="388"/>
      <c r="AA590" s="256"/>
    </row>
    <row r="591">
      <c r="A591" s="388"/>
      <c r="B591" s="388"/>
      <c r="C591" s="388"/>
      <c r="D591" s="388"/>
      <c r="E591" s="388"/>
      <c r="F591" s="388"/>
      <c r="G591" s="388"/>
      <c r="H591" s="388"/>
      <c r="I591" s="388"/>
      <c r="J591" s="388"/>
      <c r="K591" s="388"/>
      <c r="L591" s="388"/>
      <c r="M591" s="388"/>
      <c r="N591" s="388"/>
      <c r="O591" s="388"/>
      <c r="P591" s="388"/>
      <c r="Q591" s="388"/>
      <c r="R591" s="388"/>
      <c r="S591" s="388"/>
      <c r="T591" s="388"/>
      <c r="U591" s="388"/>
      <c r="V591" s="388"/>
      <c r="AA591" s="256"/>
    </row>
    <row r="592">
      <c r="A592" s="388"/>
      <c r="B592" s="388"/>
      <c r="C592" s="388"/>
      <c r="D592" s="388"/>
      <c r="E592" s="388"/>
      <c r="F592" s="388"/>
      <c r="G592" s="388"/>
      <c r="H592" s="388"/>
      <c r="I592" s="388"/>
      <c r="J592" s="388"/>
      <c r="K592" s="388"/>
      <c r="L592" s="388"/>
      <c r="M592" s="388"/>
      <c r="N592" s="388"/>
      <c r="O592" s="388"/>
      <c r="P592" s="388"/>
      <c r="Q592" s="388"/>
      <c r="R592" s="388"/>
      <c r="S592" s="388"/>
      <c r="T592" s="388"/>
      <c r="U592" s="388"/>
      <c r="V592" s="388"/>
      <c r="AA592" s="256"/>
    </row>
    <row r="593">
      <c r="A593" s="388"/>
      <c r="B593" s="388"/>
      <c r="C593" s="388"/>
      <c r="D593" s="388"/>
      <c r="E593" s="388"/>
      <c r="F593" s="388"/>
      <c r="G593" s="388"/>
      <c r="H593" s="388"/>
      <c r="I593" s="388"/>
      <c r="J593" s="388"/>
      <c r="K593" s="388"/>
      <c r="L593" s="388"/>
      <c r="M593" s="388"/>
      <c r="N593" s="388"/>
      <c r="O593" s="388"/>
      <c r="P593" s="388"/>
      <c r="Q593" s="388"/>
      <c r="R593" s="388"/>
      <c r="S593" s="388"/>
      <c r="T593" s="388"/>
      <c r="U593" s="388"/>
      <c r="V593" s="388"/>
      <c r="AA593" s="256"/>
    </row>
    <row r="594">
      <c r="A594" s="388"/>
      <c r="B594" s="388"/>
      <c r="C594" s="388"/>
      <c r="D594" s="388"/>
      <c r="E594" s="388"/>
      <c r="F594" s="388"/>
      <c r="G594" s="388"/>
      <c r="H594" s="388"/>
      <c r="I594" s="388"/>
      <c r="J594" s="388"/>
      <c r="K594" s="388"/>
      <c r="L594" s="388"/>
      <c r="M594" s="388"/>
      <c r="N594" s="388"/>
      <c r="O594" s="388"/>
      <c r="P594" s="388"/>
      <c r="Q594" s="388"/>
      <c r="R594" s="388"/>
      <c r="S594" s="388"/>
      <c r="T594" s="388"/>
      <c r="U594" s="388"/>
      <c r="V594" s="388"/>
      <c r="AA594" s="256"/>
    </row>
    <row r="595">
      <c r="A595" s="388"/>
      <c r="B595" s="388"/>
      <c r="C595" s="388"/>
      <c r="D595" s="388"/>
      <c r="E595" s="388"/>
      <c r="F595" s="388"/>
      <c r="G595" s="388"/>
      <c r="H595" s="388"/>
      <c r="I595" s="388"/>
      <c r="J595" s="388"/>
      <c r="K595" s="388"/>
      <c r="L595" s="388"/>
      <c r="M595" s="388"/>
      <c r="N595" s="388"/>
      <c r="O595" s="388"/>
      <c r="P595" s="388"/>
      <c r="Q595" s="388"/>
      <c r="R595" s="388"/>
      <c r="S595" s="388"/>
      <c r="T595" s="388"/>
      <c r="U595" s="388"/>
      <c r="V595" s="388"/>
      <c r="AA595" s="256"/>
    </row>
    <row r="596">
      <c r="A596" s="388"/>
      <c r="B596" s="388"/>
      <c r="C596" s="388"/>
      <c r="D596" s="388"/>
      <c r="E596" s="388"/>
      <c r="F596" s="388"/>
      <c r="G596" s="388"/>
      <c r="H596" s="388"/>
      <c r="I596" s="388"/>
      <c r="J596" s="388"/>
      <c r="K596" s="388"/>
      <c r="L596" s="388"/>
      <c r="M596" s="388"/>
      <c r="N596" s="388"/>
      <c r="O596" s="388"/>
      <c r="P596" s="388"/>
      <c r="Q596" s="388"/>
      <c r="R596" s="388"/>
      <c r="S596" s="388"/>
      <c r="T596" s="388"/>
      <c r="U596" s="388"/>
      <c r="V596" s="388"/>
      <c r="AA596" s="256"/>
    </row>
    <row r="597">
      <c r="A597" s="388"/>
      <c r="B597" s="388"/>
      <c r="C597" s="388"/>
      <c r="D597" s="388"/>
      <c r="E597" s="388"/>
      <c r="F597" s="388"/>
      <c r="G597" s="388"/>
      <c r="H597" s="388"/>
      <c r="I597" s="388"/>
      <c r="J597" s="388"/>
      <c r="K597" s="388"/>
      <c r="L597" s="388"/>
      <c r="M597" s="388"/>
      <c r="N597" s="388"/>
      <c r="O597" s="388"/>
      <c r="P597" s="388"/>
      <c r="Q597" s="388"/>
      <c r="R597" s="388"/>
      <c r="S597" s="388"/>
      <c r="T597" s="388"/>
      <c r="U597" s="388"/>
      <c r="V597" s="388"/>
      <c r="AA597" s="256"/>
    </row>
    <row r="598">
      <c r="A598" s="388"/>
      <c r="B598" s="388"/>
      <c r="C598" s="388"/>
      <c r="D598" s="388"/>
      <c r="E598" s="388"/>
      <c r="F598" s="388"/>
      <c r="G598" s="388"/>
      <c r="H598" s="388"/>
      <c r="I598" s="388"/>
      <c r="J598" s="388"/>
      <c r="K598" s="388"/>
      <c r="L598" s="388"/>
      <c r="M598" s="388"/>
      <c r="N598" s="388"/>
      <c r="O598" s="388"/>
      <c r="P598" s="388"/>
      <c r="Q598" s="388"/>
      <c r="R598" s="388"/>
      <c r="S598" s="388"/>
      <c r="T598" s="388"/>
      <c r="U598" s="388"/>
      <c r="V598" s="388"/>
      <c r="AA598" s="256"/>
    </row>
    <row r="599">
      <c r="A599" s="388"/>
      <c r="B599" s="388"/>
      <c r="C599" s="388"/>
      <c r="D599" s="388"/>
      <c r="E599" s="388"/>
      <c r="F599" s="388"/>
      <c r="G599" s="388"/>
      <c r="H599" s="388"/>
      <c r="I599" s="388"/>
      <c r="J599" s="388"/>
      <c r="K599" s="388"/>
      <c r="L599" s="388"/>
      <c r="M599" s="388"/>
      <c r="N599" s="388"/>
      <c r="O599" s="388"/>
      <c r="P599" s="388"/>
      <c r="Q599" s="388"/>
      <c r="R599" s="388"/>
      <c r="S599" s="388"/>
      <c r="T599" s="388"/>
      <c r="U599" s="388"/>
      <c r="V599" s="388"/>
      <c r="AA599" s="256"/>
    </row>
    <row r="600">
      <c r="A600" s="388"/>
      <c r="B600" s="388"/>
      <c r="C600" s="388"/>
      <c r="D600" s="388"/>
      <c r="E600" s="388"/>
      <c r="F600" s="388"/>
      <c r="G600" s="388"/>
      <c r="H600" s="388"/>
      <c r="I600" s="388"/>
      <c r="J600" s="388"/>
      <c r="K600" s="388"/>
      <c r="L600" s="388"/>
      <c r="M600" s="388"/>
      <c r="N600" s="388"/>
      <c r="O600" s="388"/>
      <c r="P600" s="388"/>
      <c r="Q600" s="388"/>
      <c r="R600" s="388"/>
      <c r="S600" s="388"/>
      <c r="T600" s="388"/>
      <c r="U600" s="388"/>
      <c r="V600" s="388"/>
      <c r="AA600" s="256"/>
    </row>
    <row r="601">
      <c r="A601" s="388"/>
      <c r="B601" s="388"/>
      <c r="C601" s="388"/>
      <c r="D601" s="388"/>
      <c r="E601" s="388"/>
      <c r="F601" s="388"/>
      <c r="G601" s="388"/>
      <c r="H601" s="388"/>
      <c r="I601" s="388"/>
      <c r="J601" s="388"/>
      <c r="K601" s="388"/>
      <c r="L601" s="388"/>
      <c r="M601" s="388"/>
      <c r="N601" s="388"/>
      <c r="O601" s="388"/>
      <c r="P601" s="388"/>
      <c r="Q601" s="388"/>
      <c r="R601" s="388"/>
      <c r="S601" s="388"/>
      <c r="T601" s="388"/>
      <c r="U601" s="388"/>
      <c r="V601" s="388"/>
      <c r="AA601" s="256"/>
    </row>
    <row r="602">
      <c r="A602" s="388"/>
      <c r="B602" s="388"/>
      <c r="C602" s="388"/>
      <c r="D602" s="388"/>
      <c r="E602" s="388"/>
      <c r="F602" s="388"/>
      <c r="G602" s="388"/>
      <c r="H602" s="388"/>
      <c r="I602" s="388"/>
      <c r="J602" s="388"/>
      <c r="K602" s="388"/>
      <c r="L602" s="388"/>
      <c r="M602" s="388"/>
      <c r="N602" s="388"/>
      <c r="O602" s="388"/>
      <c r="P602" s="388"/>
      <c r="Q602" s="388"/>
      <c r="R602" s="388"/>
      <c r="S602" s="388"/>
      <c r="T602" s="388"/>
      <c r="U602" s="388"/>
      <c r="V602" s="388"/>
      <c r="AA602" s="256"/>
    </row>
    <row r="603">
      <c r="A603" s="388"/>
      <c r="B603" s="388"/>
      <c r="C603" s="388"/>
      <c r="D603" s="388"/>
      <c r="E603" s="388"/>
      <c r="F603" s="388"/>
      <c r="G603" s="388"/>
      <c r="H603" s="388"/>
      <c r="I603" s="388"/>
      <c r="J603" s="388"/>
      <c r="K603" s="388"/>
      <c r="L603" s="388"/>
      <c r="M603" s="388"/>
      <c r="N603" s="388"/>
      <c r="O603" s="388"/>
      <c r="P603" s="388"/>
      <c r="Q603" s="388"/>
      <c r="R603" s="388"/>
      <c r="S603" s="388"/>
      <c r="T603" s="388"/>
      <c r="U603" s="388"/>
      <c r="V603" s="388"/>
      <c r="AA603" s="256"/>
    </row>
    <row r="604">
      <c r="A604" s="388"/>
      <c r="B604" s="388"/>
      <c r="C604" s="388"/>
      <c r="D604" s="388"/>
      <c r="E604" s="388"/>
      <c r="F604" s="388"/>
      <c r="G604" s="388"/>
      <c r="H604" s="388"/>
      <c r="I604" s="388"/>
      <c r="J604" s="388"/>
      <c r="K604" s="388"/>
      <c r="L604" s="388"/>
      <c r="M604" s="388"/>
      <c r="N604" s="388"/>
      <c r="O604" s="388"/>
      <c r="P604" s="388"/>
      <c r="Q604" s="388"/>
      <c r="R604" s="388"/>
      <c r="S604" s="388"/>
      <c r="T604" s="388"/>
      <c r="U604" s="388"/>
      <c r="V604" s="388"/>
      <c r="AA604" s="256"/>
    </row>
    <row r="605">
      <c r="A605" s="388"/>
      <c r="B605" s="388"/>
      <c r="C605" s="388"/>
      <c r="D605" s="388"/>
      <c r="E605" s="388"/>
      <c r="F605" s="388"/>
      <c r="G605" s="388"/>
      <c r="H605" s="388"/>
      <c r="I605" s="388"/>
      <c r="J605" s="388"/>
      <c r="K605" s="388"/>
      <c r="L605" s="388"/>
      <c r="M605" s="388"/>
      <c r="N605" s="388"/>
      <c r="O605" s="388"/>
      <c r="P605" s="388"/>
      <c r="Q605" s="388"/>
      <c r="R605" s="388"/>
      <c r="S605" s="388"/>
      <c r="T605" s="388"/>
      <c r="U605" s="388"/>
      <c r="V605" s="388"/>
      <c r="AA605" s="256"/>
    </row>
    <row r="606">
      <c r="A606" s="388"/>
      <c r="B606" s="388"/>
      <c r="C606" s="388"/>
      <c r="D606" s="388"/>
      <c r="E606" s="388"/>
      <c r="F606" s="388"/>
      <c r="G606" s="388"/>
      <c r="H606" s="388"/>
      <c r="I606" s="388"/>
      <c r="J606" s="388"/>
      <c r="K606" s="388"/>
      <c r="L606" s="388"/>
      <c r="M606" s="388"/>
      <c r="N606" s="388"/>
      <c r="O606" s="388"/>
      <c r="P606" s="388"/>
      <c r="Q606" s="388"/>
      <c r="R606" s="388"/>
      <c r="S606" s="388"/>
      <c r="T606" s="388"/>
      <c r="U606" s="388"/>
      <c r="V606" s="388"/>
      <c r="AA606" s="256"/>
    </row>
    <row r="607">
      <c r="A607" s="388"/>
      <c r="B607" s="388"/>
      <c r="C607" s="388"/>
      <c r="D607" s="388"/>
      <c r="E607" s="388"/>
      <c r="F607" s="388"/>
      <c r="G607" s="388"/>
      <c r="H607" s="388"/>
      <c r="I607" s="388"/>
      <c r="J607" s="388"/>
      <c r="K607" s="388"/>
      <c r="L607" s="388"/>
      <c r="M607" s="388"/>
      <c r="N607" s="388"/>
      <c r="O607" s="388"/>
      <c r="P607" s="388"/>
      <c r="Q607" s="388"/>
      <c r="R607" s="388"/>
      <c r="S607" s="388"/>
      <c r="T607" s="388"/>
      <c r="U607" s="388"/>
      <c r="V607" s="388"/>
      <c r="AA607" s="256"/>
    </row>
    <row r="608">
      <c r="A608" s="388"/>
      <c r="B608" s="388"/>
      <c r="C608" s="388"/>
      <c r="D608" s="388"/>
      <c r="E608" s="388"/>
      <c r="F608" s="388"/>
      <c r="G608" s="388"/>
      <c r="H608" s="388"/>
      <c r="I608" s="388"/>
      <c r="J608" s="388"/>
      <c r="K608" s="388"/>
      <c r="L608" s="388"/>
      <c r="M608" s="388"/>
      <c r="N608" s="388"/>
      <c r="O608" s="388"/>
      <c r="P608" s="388"/>
      <c r="Q608" s="388"/>
      <c r="R608" s="388"/>
      <c r="S608" s="388"/>
      <c r="T608" s="388"/>
      <c r="U608" s="388"/>
      <c r="V608" s="388"/>
      <c r="AA608" s="256"/>
    </row>
    <row r="609">
      <c r="A609" s="388"/>
      <c r="B609" s="388"/>
      <c r="C609" s="388"/>
      <c r="D609" s="388"/>
      <c r="E609" s="388"/>
      <c r="F609" s="388"/>
      <c r="G609" s="388"/>
      <c r="H609" s="388"/>
      <c r="I609" s="388"/>
      <c r="J609" s="388"/>
      <c r="K609" s="388"/>
      <c r="L609" s="388"/>
      <c r="M609" s="388"/>
      <c r="N609" s="388"/>
      <c r="O609" s="388"/>
      <c r="P609" s="388"/>
      <c r="Q609" s="388"/>
      <c r="R609" s="388"/>
      <c r="S609" s="388"/>
      <c r="T609" s="388"/>
      <c r="U609" s="388"/>
      <c r="V609" s="388"/>
      <c r="AA609" s="256"/>
    </row>
    <row r="610">
      <c r="A610" s="388"/>
      <c r="B610" s="388"/>
      <c r="C610" s="388"/>
      <c r="D610" s="388"/>
      <c r="E610" s="388"/>
      <c r="F610" s="388"/>
      <c r="G610" s="388"/>
      <c r="H610" s="388"/>
      <c r="I610" s="388"/>
      <c r="J610" s="388"/>
      <c r="K610" s="388"/>
      <c r="L610" s="388"/>
      <c r="M610" s="388"/>
      <c r="N610" s="388"/>
      <c r="O610" s="388"/>
      <c r="P610" s="388"/>
      <c r="Q610" s="388"/>
      <c r="R610" s="388"/>
      <c r="S610" s="388"/>
      <c r="T610" s="388"/>
      <c r="U610" s="388"/>
      <c r="V610" s="388"/>
      <c r="AA610" s="256"/>
    </row>
    <row r="611">
      <c r="A611" s="388"/>
      <c r="B611" s="388"/>
      <c r="C611" s="388"/>
      <c r="D611" s="388"/>
      <c r="E611" s="388"/>
      <c r="F611" s="388"/>
      <c r="G611" s="388"/>
      <c r="H611" s="388"/>
      <c r="I611" s="388"/>
      <c r="J611" s="388"/>
      <c r="K611" s="388"/>
      <c r="L611" s="388"/>
      <c r="M611" s="388"/>
      <c r="N611" s="388"/>
      <c r="O611" s="388"/>
      <c r="P611" s="388"/>
      <c r="Q611" s="388"/>
      <c r="R611" s="388"/>
      <c r="S611" s="388"/>
      <c r="T611" s="388"/>
      <c r="U611" s="388"/>
      <c r="V611" s="388"/>
      <c r="AA611" s="256"/>
    </row>
    <row r="612">
      <c r="A612" s="388"/>
      <c r="B612" s="388"/>
      <c r="C612" s="388"/>
      <c r="D612" s="388"/>
      <c r="E612" s="388"/>
      <c r="F612" s="388"/>
      <c r="G612" s="388"/>
      <c r="H612" s="388"/>
      <c r="I612" s="388"/>
      <c r="J612" s="388"/>
      <c r="K612" s="388"/>
      <c r="L612" s="388"/>
      <c r="M612" s="388"/>
      <c r="N612" s="388"/>
      <c r="O612" s="388"/>
      <c r="P612" s="388"/>
      <c r="Q612" s="388"/>
      <c r="R612" s="388"/>
      <c r="S612" s="388"/>
      <c r="T612" s="388"/>
      <c r="U612" s="388"/>
      <c r="V612" s="388"/>
      <c r="AA612" s="256"/>
    </row>
    <row r="613">
      <c r="A613" s="388"/>
      <c r="B613" s="388"/>
      <c r="C613" s="388"/>
      <c r="D613" s="388"/>
      <c r="E613" s="388"/>
      <c r="F613" s="388"/>
      <c r="G613" s="388"/>
      <c r="H613" s="388"/>
      <c r="I613" s="388"/>
      <c r="J613" s="388"/>
      <c r="K613" s="388"/>
      <c r="L613" s="388"/>
      <c r="M613" s="388"/>
      <c r="N613" s="388"/>
      <c r="O613" s="388"/>
      <c r="P613" s="388"/>
      <c r="Q613" s="388"/>
      <c r="R613" s="388"/>
      <c r="S613" s="388"/>
      <c r="T613" s="388"/>
      <c r="U613" s="388"/>
      <c r="V613" s="388"/>
      <c r="AA613" s="256"/>
    </row>
    <row r="614">
      <c r="A614" s="388"/>
      <c r="B614" s="388"/>
      <c r="C614" s="388"/>
      <c r="D614" s="388"/>
      <c r="E614" s="388"/>
      <c r="F614" s="388"/>
      <c r="G614" s="388"/>
      <c r="H614" s="388"/>
      <c r="I614" s="388"/>
      <c r="J614" s="388"/>
      <c r="K614" s="388"/>
      <c r="L614" s="388"/>
      <c r="M614" s="388"/>
      <c r="N614" s="388"/>
      <c r="O614" s="388"/>
      <c r="P614" s="388"/>
      <c r="Q614" s="388"/>
      <c r="R614" s="388"/>
      <c r="S614" s="388"/>
      <c r="T614" s="388"/>
      <c r="U614" s="388"/>
      <c r="V614" s="388"/>
      <c r="AA614" s="256"/>
    </row>
    <row r="615">
      <c r="A615" s="388"/>
      <c r="B615" s="388"/>
      <c r="C615" s="388"/>
      <c r="D615" s="388"/>
      <c r="E615" s="388"/>
      <c r="F615" s="388"/>
      <c r="G615" s="388"/>
      <c r="H615" s="388"/>
      <c r="I615" s="388"/>
      <c r="J615" s="388"/>
      <c r="K615" s="388"/>
      <c r="L615" s="388"/>
      <c r="M615" s="388"/>
      <c r="N615" s="388"/>
      <c r="O615" s="388"/>
      <c r="P615" s="388"/>
      <c r="Q615" s="388"/>
      <c r="R615" s="388"/>
      <c r="S615" s="388"/>
      <c r="T615" s="388"/>
      <c r="U615" s="388"/>
      <c r="V615" s="388"/>
      <c r="AA615" s="256"/>
    </row>
    <row r="616">
      <c r="A616" s="388"/>
      <c r="B616" s="388"/>
      <c r="C616" s="388"/>
      <c r="D616" s="388"/>
      <c r="E616" s="388"/>
      <c r="F616" s="388"/>
      <c r="G616" s="388"/>
      <c r="H616" s="388"/>
      <c r="I616" s="388"/>
      <c r="J616" s="388"/>
      <c r="K616" s="388"/>
      <c r="L616" s="388"/>
      <c r="M616" s="388"/>
      <c r="N616" s="388"/>
      <c r="O616" s="388"/>
      <c r="P616" s="388"/>
      <c r="Q616" s="388"/>
      <c r="R616" s="388"/>
      <c r="S616" s="388"/>
      <c r="T616" s="388"/>
      <c r="U616" s="388"/>
      <c r="V616" s="388"/>
      <c r="AA616" s="256"/>
    </row>
    <row r="617">
      <c r="A617" s="388"/>
      <c r="B617" s="388"/>
      <c r="C617" s="388"/>
      <c r="D617" s="388"/>
      <c r="E617" s="388"/>
      <c r="F617" s="388"/>
      <c r="G617" s="388"/>
      <c r="H617" s="388"/>
      <c r="I617" s="388"/>
      <c r="J617" s="388"/>
      <c r="K617" s="388"/>
      <c r="L617" s="388"/>
      <c r="M617" s="388"/>
      <c r="N617" s="388"/>
      <c r="O617" s="388"/>
      <c r="P617" s="388"/>
      <c r="Q617" s="388"/>
      <c r="R617" s="388"/>
      <c r="S617" s="388"/>
      <c r="T617" s="388"/>
      <c r="U617" s="388"/>
      <c r="V617" s="388"/>
      <c r="AA617" s="256"/>
    </row>
    <row r="618">
      <c r="A618" s="388"/>
      <c r="B618" s="388"/>
      <c r="C618" s="388"/>
      <c r="D618" s="388"/>
      <c r="E618" s="388"/>
      <c r="F618" s="388"/>
      <c r="G618" s="388"/>
      <c r="H618" s="388"/>
      <c r="I618" s="388"/>
      <c r="J618" s="388"/>
      <c r="K618" s="388"/>
      <c r="L618" s="388"/>
      <c r="M618" s="388"/>
      <c r="N618" s="388"/>
      <c r="O618" s="388"/>
      <c r="P618" s="388"/>
      <c r="Q618" s="388"/>
      <c r="R618" s="388"/>
      <c r="S618" s="388"/>
      <c r="T618" s="388"/>
      <c r="U618" s="388"/>
      <c r="V618" s="388"/>
      <c r="AA618" s="256"/>
    </row>
    <row r="619">
      <c r="A619" s="388"/>
      <c r="B619" s="388"/>
      <c r="C619" s="388"/>
      <c r="D619" s="388"/>
      <c r="E619" s="388"/>
      <c r="F619" s="388"/>
      <c r="G619" s="388"/>
      <c r="H619" s="388"/>
      <c r="I619" s="388"/>
      <c r="J619" s="388"/>
      <c r="K619" s="388"/>
      <c r="L619" s="388"/>
      <c r="M619" s="388"/>
      <c r="N619" s="388"/>
      <c r="O619" s="388"/>
      <c r="P619" s="388"/>
      <c r="Q619" s="388"/>
      <c r="R619" s="388"/>
      <c r="S619" s="388"/>
      <c r="T619" s="388"/>
      <c r="U619" s="388"/>
      <c r="V619" s="388"/>
      <c r="AA619" s="256"/>
    </row>
    <row r="620">
      <c r="A620" s="388"/>
      <c r="B620" s="388"/>
      <c r="C620" s="388"/>
      <c r="D620" s="388"/>
      <c r="E620" s="388"/>
      <c r="F620" s="388"/>
      <c r="G620" s="388"/>
      <c r="H620" s="388"/>
      <c r="I620" s="388"/>
      <c r="J620" s="388"/>
      <c r="K620" s="388"/>
      <c r="L620" s="388"/>
      <c r="M620" s="388"/>
      <c r="N620" s="388"/>
      <c r="O620" s="388"/>
      <c r="P620" s="388"/>
      <c r="Q620" s="388"/>
      <c r="R620" s="388"/>
      <c r="S620" s="388"/>
      <c r="T620" s="388"/>
      <c r="U620" s="388"/>
      <c r="V620" s="388"/>
      <c r="AA620" s="256"/>
    </row>
    <row r="621">
      <c r="A621" s="388"/>
      <c r="B621" s="388"/>
      <c r="C621" s="388"/>
      <c r="D621" s="388"/>
      <c r="E621" s="388"/>
      <c r="F621" s="388"/>
      <c r="G621" s="388"/>
      <c r="H621" s="388"/>
      <c r="I621" s="388"/>
      <c r="J621" s="388"/>
      <c r="K621" s="388"/>
      <c r="L621" s="388"/>
      <c r="M621" s="388"/>
      <c r="N621" s="388"/>
      <c r="O621" s="388"/>
      <c r="P621" s="388"/>
      <c r="Q621" s="388"/>
      <c r="R621" s="388"/>
      <c r="S621" s="388"/>
      <c r="T621" s="388"/>
      <c r="U621" s="388"/>
      <c r="V621" s="388"/>
      <c r="AA621" s="256"/>
    </row>
    <row r="622">
      <c r="A622" s="388"/>
      <c r="B622" s="388"/>
      <c r="C622" s="388"/>
      <c r="D622" s="388"/>
      <c r="E622" s="388"/>
      <c r="F622" s="388"/>
      <c r="G622" s="388"/>
      <c r="H622" s="388"/>
      <c r="I622" s="388"/>
      <c r="J622" s="388"/>
      <c r="K622" s="388"/>
      <c r="L622" s="388"/>
      <c r="M622" s="388"/>
      <c r="N622" s="388"/>
      <c r="O622" s="388"/>
      <c r="P622" s="388"/>
      <c r="Q622" s="388"/>
      <c r="R622" s="388"/>
      <c r="S622" s="388"/>
      <c r="T622" s="388"/>
      <c r="U622" s="388"/>
      <c r="V622" s="388"/>
      <c r="AA622" s="256"/>
    </row>
    <row r="623">
      <c r="A623" s="388"/>
      <c r="B623" s="388"/>
      <c r="C623" s="388"/>
      <c r="D623" s="388"/>
      <c r="E623" s="388"/>
      <c r="F623" s="388"/>
      <c r="G623" s="388"/>
      <c r="H623" s="388"/>
      <c r="I623" s="388"/>
      <c r="J623" s="388"/>
      <c r="K623" s="388"/>
      <c r="L623" s="388"/>
      <c r="M623" s="388"/>
      <c r="N623" s="388"/>
      <c r="O623" s="388"/>
      <c r="P623" s="388"/>
      <c r="Q623" s="388"/>
      <c r="R623" s="388"/>
      <c r="S623" s="388"/>
      <c r="T623" s="388"/>
      <c r="U623" s="388"/>
      <c r="V623" s="388"/>
      <c r="AA623" s="256"/>
    </row>
    <row r="624">
      <c r="A624" s="388"/>
      <c r="B624" s="388"/>
      <c r="C624" s="388"/>
      <c r="D624" s="388"/>
      <c r="E624" s="388"/>
      <c r="F624" s="388"/>
      <c r="G624" s="388"/>
      <c r="H624" s="388"/>
      <c r="I624" s="388"/>
      <c r="J624" s="388"/>
      <c r="K624" s="388"/>
      <c r="L624" s="388"/>
      <c r="M624" s="388"/>
      <c r="N624" s="388"/>
      <c r="O624" s="388"/>
      <c r="P624" s="388"/>
      <c r="Q624" s="388"/>
      <c r="R624" s="388"/>
      <c r="S624" s="388"/>
      <c r="T624" s="388"/>
      <c r="U624" s="388"/>
      <c r="V624" s="388"/>
      <c r="AA624" s="256"/>
    </row>
    <row r="625">
      <c r="A625" s="388"/>
      <c r="B625" s="388"/>
      <c r="C625" s="388"/>
      <c r="D625" s="388"/>
      <c r="E625" s="388"/>
      <c r="F625" s="388"/>
      <c r="G625" s="388"/>
      <c r="H625" s="388"/>
      <c r="I625" s="388"/>
      <c r="J625" s="388"/>
      <c r="K625" s="388"/>
      <c r="L625" s="388"/>
      <c r="M625" s="388"/>
      <c r="N625" s="388"/>
      <c r="O625" s="388"/>
      <c r="P625" s="388"/>
      <c r="Q625" s="388"/>
      <c r="R625" s="388"/>
      <c r="S625" s="388"/>
      <c r="T625" s="388"/>
      <c r="U625" s="388"/>
      <c r="V625" s="388"/>
      <c r="AA625" s="256"/>
    </row>
    <row r="626">
      <c r="A626" s="388"/>
      <c r="B626" s="388"/>
      <c r="C626" s="388"/>
      <c r="D626" s="388"/>
      <c r="E626" s="388"/>
      <c r="F626" s="388"/>
      <c r="G626" s="388"/>
      <c r="H626" s="388"/>
      <c r="I626" s="388"/>
      <c r="J626" s="388"/>
      <c r="K626" s="388"/>
      <c r="L626" s="388"/>
      <c r="M626" s="388"/>
      <c r="N626" s="388"/>
      <c r="O626" s="388"/>
      <c r="P626" s="388"/>
      <c r="Q626" s="388"/>
      <c r="R626" s="388"/>
      <c r="S626" s="388"/>
      <c r="T626" s="388"/>
      <c r="U626" s="388"/>
      <c r="V626" s="388"/>
      <c r="AA626" s="256"/>
    </row>
    <row r="627">
      <c r="A627" s="388"/>
      <c r="B627" s="388"/>
      <c r="C627" s="388"/>
      <c r="D627" s="388"/>
      <c r="E627" s="388"/>
      <c r="F627" s="388"/>
      <c r="G627" s="388"/>
      <c r="H627" s="388"/>
      <c r="I627" s="388"/>
      <c r="J627" s="388"/>
      <c r="K627" s="388"/>
      <c r="L627" s="388"/>
      <c r="M627" s="388"/>
      <c r="N627" s="388"/>
      <c r="O627" s="388"/>
      <c r="P627" s="388"/>
      <c r="Q627" s="388"/>
      <c r="R627" s="388"/>
      <c r="S627" s="388"/>
      <c r="T627" s="388"/>
      <c r="U627" s="388"/>
      <c r="V627" s="388"/>
      <c r="AA627" s="256"/>
    </row>
    <row r="628">
      <c r="A628" s="388"/>
      <c r="B628" s="388"/>
      <c r="C628" s="388"/>
      <c r="D628" s="388"/>
      <c r="E628" s="388"/>
      <c r="F628" s="388"/>
      <c r="G628" s="388"/>
      <c r="H628" s="388"/>
      <c r="I628" s="388"/>
      <c r="J628" s="388"/>
      <c r="K628" s="388"/>
      <c r="L628" s="388"/>
      <c r="M628" s="388"/>
      <c r="N628" s="388"/>
      <c r="O628" s="388"/>
      <c r="P628" s="388"/>
      <c r="Q628" s="388"/>
      <c r="R628" s="388"/>
      <c r="S628" s="388"/>
      <c r="T628" s="388"/>
      <c r="U628" s="388"/>
      <c r="V628" s="388"/>
      <c r="AA628" s="256"/>
    </row>
    <row r="629">
      <c r="A629" s="388"/>
      <c r="B629" s="388"/>
      <c r="C629" s="388"/>
      <c r="D629" s="388"/>
      <c r="E629" s="388"/>
      <c r="F629" s="388"/>
      <c r="G629" s="388"/>
      <c r="H629" s="388"/>
      <c r="I629" s="388"/>
      <c r="J629" s="388"/>
      <c r="K629" s="388"/>
      <c r="L629" s="388"/>
      <c r="M629" s="388"/>
      <c r="N629" s="388"/>
      <c r="O629" s="388"/>
      <c r="P629" s="388"/>
      <c r="Q629" s="388"/>
      <c r="R629" s="388"/>
      <c r="S629" s="388"/>
      <c r="T629" s="388"/>
      <c r="U629" s="388"/>
      <c r="V629" s="388"/>
      <c r="AA629" s="256"/>
    </row>
    <row r="630">
      <c r="A630" s="388"/>
      <c r="B630" s="388"/>
      <c r="C630" s="388"/>
      <c r="D630" s="388"/>
      <c r="E630" s="388"/>
      <c r="F630" s="388"/>
      <c r="G630" s="388"/>
      <c r="H630" s="388"/>
      <c r="I630" s="388"/>
      <c r="J630" s="388"/>
      <c r="K630" s="388"/>
      <c r="L630" s="388"/>
      <c r="M630" s="388"/>
      <c r="N630" s="388"/>
      <c r="O630" s="388"/>
      <c r="P630" s="388"/>
      <c r="Q630" s="388"/>
      <c r="R630" s="388"/>
      <c r="S630" s="388"/>
      <c r="T630" s="388"/>
      <c r="U630" s="388"/>
      <c r="V630" s="388"/>
      <c r="AA630" s="256"/>
    </row>
    <row r="631">
      <c r="A631" s="388"/>
      <c r="B631" s="388"/>
      <c r="C631" s="388"/>
      <c r="D631" s="388"/>
      <c r="E631" s="388"/>
      <c r="F631" s="388"/>
      <c r="G631" s="388"/>
      <c r="H631" s="388"/>
      <c r="I631" s="388"/>
      <c r="J631" s="388"/>
      <c r="K631" s="388"/>
      <c r="L631" s="388"/>
      <c r="M631" s="388"/>
      <c r="N631" s="388"/>
      <c r="O631" s="388"/>
      <c r="P631" s="388"/>
      <c r="Q631" s="388"/>
      <c r="R631" s="388"/>
      <c r="S631" s="388"/>
      <c r="T631" s="388"/>
      <c r="U631" s="388"/>
      <c r="V631" s="388"/>
      <c r="AA631" s="256"/>
    </row>
    <row r="632">
      <c r="A632" s="388"/>
      <c r="B632" s="388"/>
      <c r="C632" s="388"/>
      <c r="D632" s="388"/>
      <c r="E632" s="388"/>
      <c r="F632" s="388"/>
      <c r="G632" s="388"/>
      <c r="H632" s="388"/>
      <c r="I632" s="388"/>
      <c r="J632" s="388"/>
      <c r="K632" s="388"/>
      <c r="L632" s="388"/>
      <c r="M632" s="388"/>
      <c r="N632" s="388"/>
      <c r="O632" s="388"/>
      <c r="P632" s="388"/>
      <c r="Q632" s="388"/>
      <c r="R632" s="388"/>
      <c r="S632" s="388"/>
      <c r="T632" s="388"/>
      <c r="U632" s="388"/>
      <c r="V632" s="388"/>
      <c r="AA632" s="256"/>
    </row>
    <row r="633">
      <c r="A633" s="388"/>
      <c r="B633" s="388"/>
      <c r="C633" s="388"/>
      <c r="D633" s="388"/>
      <c r="E633" s="388"/>
      <c r="F633" s="388"/>
      <c r="G633" s="388"/>
      <c r="H633" s="388"/>
      <c r="I633" s="388"/>
      <c r="J633" s="388"/>
      <c r="K633" s="388"/>
      <c r="L633" s="388"/>
      <c r="M633" s="388"/>
      <c r="N633" s="388"/>
      <c r="O633" s="388"/>
      <c r="P633" s="388"/>
      <c r="Q633" s="388"/>
      <c r="R633" s="388"/>
      <c r="S633" s="388"/>
      <c r="T633" s="388"/>
      <c r="U633" s="388"/>
      <c r="V633" s="388"/>
      <c r="AA633" s="256"/>
    </row>
    <row r="634">
      <c r="A634" s="388"/>
      <c r="B634" s="388"/>
      <c r="C634" s="388"/>
      <c r="D634" s="388"/>
      <c r="E634" s="388"/>
      <c r="F634" s="388"/>
      <c r="G634" s="388"/>
      <c r="H634" s="388"/>
      <c r="I634" s="388"/>
      <c r="J634" s="388"/>
      <c r="K634" s="388"/>
      <c r="L634" s="388"/>
      <c r="M634" s="388"/>
      <c r="N634" s="388"/>
      <c r="O634" s="388"/>
      <c r="P634" s="388"/>
      <c r="Q634" s="388"/>
      <c r="R634" s="388"/>
      <c r="S634" s="388"/>
      <c r="T634" s="388"/>
      <c r="U634" s="388"/>
      <c r="V634" s="388"/>
      <c r="AA634" s="256"/>
    </row>
    <row r="635">
      <c r="A635" s="388"/>
      <c r="B635" s="388"/>
      <c r="C635" s="388"/>
      <c r="D635" s="388"/>
      <c r="E635" s="388"/>
      <c r="F635" s="388"/>
      <c r="G635" s="388"/>
      <c r="H635" s="388"/>
      <c r="I635" s="388"/>
      <c r="J635" s="388"/>
      <c r="K635" s="388"/>
      <c r="L635" s="388"/>
      <c r="M635" s="388"/>
      <c r="N635" s="388"/>
      <c r="O635" s="388"/>
      <c r="P635" s="388"/>
      <c r="Q635" s="388"/>
      <c r="R635" s="388"/>
      <c r="S635" s="388"/>
      <c r="T635" s="388"/>
      <c r="U635" s="388"/>
      <c r="V635" s="388"/>
      <c r="AA635" s="256"/>
    </row>
    <row r="636">
      <c r="A636" s="388"/>
      <c r="B636" s="388"/>
      <c r="C636" s="388"/>
      <c r="D636" s="388"/>
      <c r="E636" s="388"/>
      <c r="F636" s="388"/>
      <c r="G636" s="388"/>
      <c r="H636" s="388"/>
      <c r="I636" s="388"/>
      <c r="J636" s="388"/>
      <c r="K636" s="388"/>
      <c r="L636" s="388"/>
      <c r="M636" s="388"/>
      <c r="N636" s="388"/>
      <c r="O636" s="388"/>
      <c r="P636" s="388"/>
      <c r="Q636" s="388"/>
      <c r="R636" s="388"/>
      <c r="S636" s="388"/>
      <c r="T636" s="388"/>
      <c r="U636" s="388"/>
      <c r="V636" s="388"/>
      <c r="AA636" s="256"/>
    </row>
    <row r="637">
      <c r="A637" s="388"/>
      <c r="B637" s="388"/>
      <c r="C637" s="388"/>
      <c r="D637" s="388"/>
      <c r="E637" s="388"/>
      <c r="F637" s="388"/>
      <c r="G637" s="388"/>
      <c r="H637" s="388"/>
      <c r="I637" s="388"/>
      <c r="J637" s="388"/>
      <c r="K637" s="388"/>
      <c r="L637" s="388"/>
      <c r="M637" s="388"/>
      <c r="N637" s="388"/>
      <c r="O637" s="388"/>
      <c r="P637" s="388"/>
      <c r="Q637" s="388"/>
      <c r="R637" s="388"/>
      <c r="S637" s="388"/>
      <c r="T637" s="388"/>
      <c r="U637" s="388"/>
      <c r="V637" s="388"/>
      <c r="AA637" s="256"/>
    </row>
    <row r="638">
      <c r="A638" s="388"/>
      <c r="B638" s="388"/>
      <c r="C638" s="388"/>
      <c r="D638" s="388"/>
      <c r="E638" s="388"/>
      <c r="F638" s="388"/>
      <c r="G638" s="388"/>
      <c r="H638" s="388"/>
      <c r="I638" s="388"/>
      <c r="J638" s="388"/>
      <c r="K638" s="388"/>
      <c r="L638" s="388"/>
      <c r="M638" s="388"/>
      <c r="N638" s="388"/>
      <c r="O638" s="388"/>
      <c r="P638" s="388"/>
      <c r="Q638" s="388"/>
      <c r="R638" s="388"/>
      <c r="S638" s="388"/>
      <c r="T638" s="388"/>
      <c r="U638" s="388"/>
      <c r="V638" s="388"/>
      <c r="AA638" s="256"/>
    </row>
    <row r="639">
      <c r="A639" s="388"/>
      <c r="B639" s="388"/>
      <c r="C639" s="388"/>
      <c r="D639" s="388"/>
      <c r="E639" s="388"/>
      <c r="F639" s="388"/>
      <c r="G639" s="388"/>
      <c r="H639" s="388"/>
      <c r="I639" s="388"/>
      <c r="J639" s="388"/>
      <c r="K639" s="388"/>
      <c r="L639" s="388"/>
      <c r="M639" s="388"/>
      <c r="N639" s="388"/>
      <c r="O639" s="388"/>
      <c r="P639" s="388"/>
      <c r="Q639" s="388"/>
      <c r="R639" s="388"/>
      <c r="S639" s="388"/>
      <c r="T639" s="388"/>
      <c r="U639" s="388"/>
      <c r="V639" s="388"/>
      <c r="AA639" s="256"/>
    </row>
    <row r="640">
      <c r="A640" s="388"/>
      <c r="B640" s="388"/>
      <c r="C640" s="388"/>
      <c r="D640" s="388"/>
      <c r="E640" s="388"/>
      <c r="F640" s="388"/>
      <c r="G640" s="388"/>
      <c r="H640" s="388"/>
      <c r="I640" s="388"/>
      <c r="J640" s="388"/>
      <c r="K640" s="388"/>
      <c r="L640" s="388"/>
      <c r="M640" s="388"/>
      <c r="N640" s="388"/>
      <c r="O640" s="388"/>
      <c r="P640" s="388"/>
      <c r="Q640" s="388"/>
      <c r="R640" s="388"/>
      <c r="S640" s="388"/>
      <c r="T640" s="388"/>
      <c r="U640" s="388"/>
      <c r="V640" s="388"/>
      <c r="AA640" s="256"/>
    </row>
    <row r="641">
      <c r="A641" s="388"/>
      <c r="B641" s="388"/>
      <c r="C641" s="388"/>
      <c r="D641" s="388"/>
      <c r="E641" s="388"/>
      <c r="F641" s="388"/>
      <c r="G641" s="388"/>
      <c r="H641" s="388"/>
      <c r="I641" s="388"/>
      <c r="J641" s="388"/>
      <c r="K641" s="388"/>
      <c r="L641" s="388"/>
      <c r="M641" s="388"/>
      <c r="N641" s="388"/>
      <c r="O641" s="388"/>
      <c r="P641" s="388"/>
      <c r="Q641" s="388"/>
      <c r="R641" s="388"/>
      <c r="S641" s="388"/>
      <c r="T641" s="388"/>
      <c r="U641" s="388"/>
      <c r="V641" s="388"/>
      <c r="AA641" s="256"/>
    </row>
    <row r="642">
      <c r="A642" s="388"/>
      <c r="B642" s="388"/>
      <c r="C642" s="388"/>
      <c r="D642" s="388"/>
      <c r="E642" s="388"/>
      <c r="F642" s="388"/>
      <c r="G642" s="388"/>
      <c r="H642" s="388"/>
      <c r="I642" s="388"/>
      <c r="J642" s="388"/>
      <c r="K642" s="388"/>
      <c r="L642" s="388"/>
      <c r="M642" s="388"/>
      <c r="N642" s="388"/>
      <c r="O642" s="388"/>
      <c r="P642" s="388"/>
      <c r="Q642" s="388"/>
      <c r="R642" s="388"/>
      <c r="S642" s="388"/>
      <c r="T642" s="388"/>
      <c r="U642" s="388"/>
      <c r="V642" s="388"/>
      <c r="AA642" s="256"/>
    </row>
    <row r="643">
      <c r="A643" s="388"/>
      <c r="B643" s="388"/>
      <c r="C643" s="388"/>
      <c r="D643" s="388"/>
      <c r="E643" s="388"/>
      <c r="F643" s="388"/>
      <c r="G643" s="388"/>
      <c r="H643" s="388"/>
      <c r="I643" s="388"/>
      <c r="J643" s="388"/>
      <c r="K643" s="388"/>
      <c r="L643" s="388"/>
      <c r="M643" s="388"/>
      <c r="N643" s="388"/>
      <c r="O643" s="388"/>
      <c r="P643" s="388"/>
      <c r="Q643" s="388"/>
      <c r="R643" s="388"/>
      <c r="S643" s="388"/>
      <c r="T643" s="388"/>
      <c r="U643" s="388"/>
      <c r="V643" s="388"/>
      <c r="AA643" s="256"/>
    </row>
    <row r="644">
      <c r="A644" s="388"/>
      <c r="B644" s="388"/>
      <c r="C644" s="388"/>
      <c r="D644" s="388"/>
      <c r="E644" s="388"/>
      <c r="F644" s="388"/>
      <c r="G644" s="388"/>
      <c r="H644" s="388"/>
      <c r="I644" s="388"/>
      <c r="J644" s="388"/>
      <c r="K644" s="388"/>
      <c r="L644" s="388"/>
      <c r="M644" s="388"/>
      <c r="N644" s="388"/>
      <c r="O644" s="388"/>
      <c r="P644" s="388"/>
      <c r="Q644" s="388"/>
      <c r="R644" s="388"/>
      <c r="S644" s="388"/>
      <c r="T644" s="388"/>
      <c r="U644" s="388"/>
      <c r="V644" s="388"/>
      <c r="AA644" s="256"/>
    </row>
    <row r="645">
      <c r="A645" s="388"/>
      <c r="B645" s="388"/>
      <c r="C645" s="388"/>
      <c r="D645" s="388"/>
      <c r="E645" s="388"/>
      <c r="F645" s="388"/>
      <c r="G645" s="388"/>
      <c r="H645" s="388"/>
      <c r="I645" s="388"/>
      <c r="J645" s="388"/>
      <c r="K645" s="388"/>
      <c r="L645" s="388"/>
      <c r="M645" s="388"/>
      <c r="N645" s="388"/>
      <c r="O645" s="388"/>
      <c r="P645" s="388"/>
      <c r="Q645" s="388"/>
      <c r="R645" s="388"/>
      <c r="S645" s="388"/>
      <c r="T645" s="388"/>
      <c r="U645" s="388"/>
      <c r="V645" s="388"/>
      <c r="AA645" s="256"/>
    </row>
    <row r="646">
      <c r="A646" s="388"/>
      <c r="B646" s="388"/>
      <c r="C646" s="388"/>
      <c r="D646" s="388"/>
      <c r="E646" s="388"/>
      <c r="F646" s="388"/>
      <c r="G646" s="388"/>
      <c r="H646" s="388"/>
      <c r="I646" s="388"/>
      <c r="J646" s="388"/>
      <c r="K646" s="388"/>
      <c r="L646" s="388"/>
      <c r="M646" s="388"/>
      <c r="N646" s="388"/>
      <c r="O646" s="388"/>
      <c r="P646" s="388"/>
      <c r="Q646" s="388"/>
      <c r="R646" s="388"/>
      <c r="S646" s="388"/>
      <c r="T646" s="388"/>
      <c r="U646" s="388"/>
      <c r="V646" s="388"/>
      <c r="AA646" s="256"/>
    </row>
    <row r="647">
      <c r="A647" s="388"/>
      <c r="B647" s="388"/>
      <c r="C647" s="388"/>
      <c r="D647" s="388"/>
      <c r="E647" s="388"/>
      <c r="F647" s="388"/>
      <c r="G647" s="388"/>
      <c r="H647" s="388"/>
      <c r="I647" s="388"/>
      <c r="J647" s="388"/>
      <c r="K647" s="388"/>
      <c r="L647" s="388"/>
      <c r="M647" s="388"/>
      <c r="N647" s="388"/>
      <c r="O647" s="388"/>
      <c r="P647" s="388"/>
      <c r="Q647" s="388"/>
      <c r="R647" s="388"/>
      <c r="S647" s="388"/>
      <c r="T647" s="388"/>
      <c r="U647" s="388"/>
      <c r="V647" s="388"/>
      <c r="AA647" s="256"/>
    </row>
    <row r="648">
      <c r="A648" s="388"/>
      <c r="B648" s="388"/>
      <c r="C648" s="388"/>
      <c r="D648" s="388"/>
      <c r="E648" s="388"/>
      <c r="F648" s="388"/>
      <c r="G648" s="388"/>
      <c r="H648" s="388"/>
      <c r="I648" s="388"/>
      <c r="J648" s="388"/>
      <c r="K648" s="388"/>
      <c r="L648" s="388"/>
      <c r="M648" s="388"/>
      <c r="N648" s="388"/>
      <c r="O648" s="388"/>
      <c r="P648" s="388"/>
      <c r="Q648" s="388"/>
      <c r="R648" s="388"/>
      <c r="S648" s="388"/>
      <c r="T648" s="388"/>
      <c r="U648" s="388"/>
      <c r="V648" s="388"/>
      <c r="AA648" s="256"/>
    </row>
    <row r="649">
      <c r="A649" s="388"/>
      <c r="B649" s="388"/>
      <c r="C649" s="388"/>
      <c r="D649" s="388"/>
      <c r="E649" s="388"/>
      <c r="F649" s="388"/>
      <c r="G649" s="388"/>
      <c r="H649" s="388"/>
      <c r="I649" s="388"/>
      <c r="J649" s="388"/>
      <c r="K649" s="388"/>
      <c r="L649" s="388"/>
      <c r="M649" s="388"/>
      <c r="N649" s="388"/>
      <c r="O649" s="388"/>
      <c r="P649" s="388"/>
      <c r="Q649" s="388"/>
      <c r="R649" s="388"/>
      <c r="S649" s="388"/>
      <c r="T649" s="388"/>
      <c r="U649" s="388"/>
      <c r="V649" s="388"/>
      <c r="AA649" s="256"/>
    </row>
    <row r="650">
      <c r="A650" s="388"/>
      <c r="B650" s="388"/>
      <c r="C650" s="388"/>
      <c r="D650" s="388"/>
      <c r="E650" s="388"/>
      <c r="F650" s="388"/>
      <c r="G650" s="388"/>
      <c r="H650" s="388"/>
      <c r="I650" s="388"/>
      <c r="J650" s="388"/>
      <c r="K650" s="388"/>
      <c r="L650" s="388"/>
      <c r="M650" s="388"/>
      <c r="N650" s="388"/>
      <c r="O650" s="388"/>
      <c r="P650" s="388"/>
      <c r="Q650" s="388"/>
      <c r="R650" s="388"/>
      <c r="S650" s="388"/>
      <c r="T650" s="388"/>
      <c r="U650" s="388"/>
      <c r="V650" s="388"/>
      <c r="AA650" s="256"/>
    </row>
    <row r="651">
      <c r="A651" s="388"/>
      <c r="B651" s="388"/>
      <c r="C651" s="388"/>
      <c r="D651" s="388"/>
      <c r="E651" s="388"/>
      <c r="F651" s="388"/>
      <c r="G651" s="388"/>
      <c r="H651" s="388"/>
      <c r="I651" s="388"/>
      <c r="J651" s="388"/>
      <c r="K651" s="388"/>
      <c r="L651" s="388"/>
      <c r="M651" s="388"/>
      <c r="N651" s="388"/>
      <c r="O651" s="388"/>
      <c r="P651" s="388"/>
      <c r="Q651" s="388"/>
      <c r="R651" s="388"/>
      <c r="S651" s="388"/>
      <c r="T651" s="388"/>
      <c r="U651" s="388"/>
      <c r="V651" s="388"/>
      <c r="AA651" s="256"/>
    </row>
    <row r="652">
      <c r="A652" s="388"/>
      <c r="B652" s="388"/>
      <c r="C652" s="388"/>
      <c r="D652" s="388"/>
      <c r="E652" s="388"/>
      <c r="F652" s="388"/>
      <c r="G652" s="388"/>
      <c r="H652" s="388"/>
      <c r="I652" s="388"/>
      <c r="J652" s="388"/>
      <c r="K652" s="388"/>
      <c r="L652" s="388"/>
      <c r="M652" s="388"/>
      <c r="N652" s="388"/>
      <c r="O652" s="388"/>
      <c r="P652" s="388"/>
      <c r="Q652" s="388"/>
      <c r="R652" s="388"/>
      <c r="S652" s="388"/>
      <c r="T652" s="388"/>
      <c r="U652" s="388"/>
      <c r="V652" s="388"/>
      <c r="AA652" s="256"/>
    </row>
    <row r="653">
      <c r="A653" s="388"/>
      <c r="B653" s="388"/>
      <c r="C653" s="388"/>
      <c r="D653" s="388"/>
      <c r="E653" s="388"/>
      <c r="F653" s="388"/>
      <c r="G653" s="388"/>
      <c r="H653" s="388"/>
      <c r="I653" s="388"/>
      <c r="J653" s="388"/>
      <c r="K653" s="388"/>
      <c r="L653" s="388"/>
      <c r="M653" s="388"/>
      <c r="N653" s="388"/>
      <c r="O653" s="388"/>
      <c r="P653" s="388"/>
      <c r="Q653" s="388"/>
      <c r="R653" s="388"/>
      <c r="S653" s="388"/>
      <c r="T653" s="388"/>
      <c r="U653" s="388"/>
      <c r="V653" s="388"/>
      <c r="AA653" s="256"/>
    </row>
    <row r="654">
      <c r="A654" s="388"/>
      <c r="B654" s="388"/>
      <c r="C654" s="388"/>
      <c r="D654" s="388"/>
      <c r="E654" s="388"/>
      <c r="F654" s="388"/>
      <c r="G654" s="388"/>
      <c r="H654" s="388"/>
      <c r="I654" s="388"/>
      <c r="J654" s="388"/>
      <c r="K654" s="388"/>
      <c r="L654" s="388"/>
      <c r="M654" s="388"/>
      <c r="N654" s="388"/>
      <c r="O654" s="388"/>
      <c r="P654" s="388"/>
      <c r="Q654" s="388"/>
      <c r="R654" s="388"/>
      <c r="S654" s="388"/>
      <c r="T654" s="388"/>
      <c r="U654" s="388"/>
      <c r="V654" s="388"/>
      <c r="AA654" s="256"/>
    </row>
    <row r="655">
      <c r="A655" s="388"/>
      <c r="B655" s="388"/>
      <c r="C655" s="388"/>
      <c r="D655" s="388"/>
      <c r="E655" s="388"/>
      <c r="F655" s="388"/>
      <c r="G655" s="388"/>
      <c r="H655" s="388"/>
      <c r="I655" s="388"/>
      <c r="J655" s="388"/>
      <c r="K655" s="388"/>
      <c r="L655" s="388"/>
      <c r="M655" s="388"/>
      <c r="N655" s="388"/>
      <c r="O655" s="388"/>
      <c r="P655" s="388"/>
      <c r="Q655" s="388"/>
      <c r="R655" s="388"/>
      <c r="S655" s="388"/>
      <c r="T655" s="388"/>
      <c r="U655" s="388"/>
      <c r="V655" s="388"/>
      <c r="AA655" s="256"/>
    </row>
    <row r="656">
      <c r="A656" s="388"/>
      <c r="B656" s="388"/>
      <c r="C656" s="388"/>
      <c r="D656" s="388"/>
      <c r="E656" s="388"/>
      <c r="F656" s="388"/>
      <c r="G656" s="388"/>
      <c r="H656" s="388"/>
      <c r="I656" s="388"/>
      <c r="J656" s="388"/>
      <c r="K656" s="388"/>
      <c r="L656" s="388"/>
      <c r="M656" s="388"/>
      <c r="N656" s="388"/>
      <c r="O656" s="388"/>
      <c r="P656" s="388"/>
      <c r="Q656" s="388"/>
      <c r="R656" s="388"/>
      <c r="S656" s="388"/>
      <c r="T656" s="388"/>
      <c r="U656" s="388"/>
      <c r="V656" s="388"/>
      <c r="AA656" s="256"/>
    </row>
    <row r="657">
      <c r="A657" s="388"/>
      <c r="B657" s="388"/>
      <c r="C657" s="388"/>
      <c r="D657" s="388"/>
      <c r="E657" s="388"/>
      <c r="F657" s="388"/>
      <c r="G657" s="388"/>
      <c r="H657" s="388"/>
      <c r="I657" s="388"/>
      <c r="J657" s="388"/>
      <c r="K657" s="388"/>
      <c r="L657" s="388"/>
      <c r="M657" s="388"/>
      <c r="N657" s="388"/>
      <c r="O657" s="388"/>
      <c r="P657" s="388"/>
      <c r="Q657" s="388"/>
      <c r="R657" s="388"/>
      <c r="S657" s="388"/>
      <c r="T657" s="388"/>
      <c r="U657" s="388"/>
      <c r="V657" s="388"/>
      <c r="AA657" s="256"/>
    </row>
    <row r="658">
      <c r="A658" s="388"/>
      <c r="B658" s="388"/>
      <c r="C658" s="388"/>
      <c r="D658" s="388"/>
      <c r="E658" s="388"/>
      <c r="F658" s="388"/>
      <c r="G658" s="388"/>
      <c r="H658" s="388"/>
      <c r="I658" s="388"/>
      <c r="J658" s="388"/>
      <c r="K658" s="388"/>
      <c r="L658" s="388"/>
      <c r="M658" s="388"/>
      <c r="N658" s="388"/>
      <c r="O658" s="388"/>
      <c r="P658" s="388"/>
      <c r="Q658" s="388"/>
      <c r="R658" s="388"/>
      <c r="S658" s="388"/>
      <c r="T658" s="388"/>
      <c r="U658" s="388"/>
      <c r="V658" s="388"/>
      <c r="AA658" s="256"/>
    </row>
    <row r="659">
      <c r="A659" s="388"/>
      <c r="B659" s="388"/>
      <c r="C659" s="388"/>
      <c r="D659" s="388"/>
      <c r="E659" s="388"/>
      <c r="F659" s="388"/>
      <c r="G659" s="388"/>
      <c r="H659" s="388"/>
      <c r="I659" s="388"/>
      <c r="J659" s="388"/>
      <c r="K659" s="388"/>
      <c r="L659" s="388"/>
      <c r="M659" s="388"/>
      <c r="N659" s="388"/>
      <c r="O659" s="388"/>
      <c r="P659" s="388"/>
      <c r="Q659" s="388"/>
      <c r="R659" s="388"/>
      <c r="S659" s="388"/>
      <c r="T659" s="388"/>
      <c r="U659" s="388"/>
      <c r="V659" s="388"/>
      <c r="AA659" s="256"/>
    </row>
    <row r="660">
      <c r="A660" s="388"/>
      <c r="B660" s="388"/>
      <c r="C660" s="388"/>
      <c r="D660" s="388"/>
      <c r="E660" s="388"/>
      <c r="F660" s="388"/>
      <c r="G660" s="388"/>
      <c r="H660" s="388"/>
      <c r="I660" s="388"/>
      <c r="J660" s="388"/>
      <c r="K660" s="388"/>
      <c r="L660" s="388"/>
      <c r="M660" s="388"/>
      <c r="N660" s="388"/>
      <c r="O660" s="388"/>
      <c r="P660" s="388"/>
      <c r="Q660" s="388"/>
      <c r="R660" s="388"/>
      <c r="S660" s="388"/>
      <c r="T660" s="388"/>
      <c r="U660" s="388"/>
      <c r="V660" s="388"/>
      <c r="AA660" s="256"/>
    </row>
    <row r="661">
      <c r="A661" s="388"/>
      <c r="B661" s="388"/>
      <c r="C661" s="388"/>
      <c r="D661" s="388"/>
      <c r="E661" s="388"/>
      <c r="F661" s="388"/>
      <c r="G661" s="388"/>
      <c r="H661" s="388"/>
      <c r="I661" s="388"/>
      <c r="J661" s="388"/>
      <c r="K661" s="388"/>
      <c r="L661" s="388"/>
      <c r="M661" s="388"/>
      <c r="N661" s="388"/>
      <c r="O661" s="388"/>
      <c r="P661" s="388"/>
      <c r="Q661" s="388"/>
      <c r="R661" s="388"/>
      <c r="S661" s="388"/>
      <c r="T661" s="388"/>
      <c r="U661" s="388"/>
      <c r="V661" s="388"/>
      <c r="AA661" s="256"/>
    </row>
    <row r="662">
      <c r="A662" s="388"/>
      <c r="B662" s="388"/>
      <c r="C662" s="388"/>
      <c r="D662" s="388"/>
      <c r="E662" s="388"/>
      <c r="F662" s="388"/>
      <c r="G662" s="388"/>
      <c r="H662" s="388"/>
      <c r="I662" s="388"/>
      <c r="J662" s="388"/>
      <c r="K662" s="388"/>
      <c r="L662" s="388"/>
      <c r="M662" s="388"/>
      <c r="N662" s="388"/>
      <c r="O662" s="388"/>
      <c r="P662" s="388"/>
      <c r="Q662" s="388"/>
      <c r="R662" s="388"/>
      <c r="S662" s="388"/>
      <c r="T662" s="388"/>
      <c r="U662" s="388"/>
      <c r="V662" s="388"/>
      <c r="AA662" s="256"/>
    </row>
    <row r="663">
      <c r="A663" s="388"/>
      <c r="B663" s="388"/>
      <c r="C663" s="388"/>
      <c r="D663" s="388"/>
      <c r="E663" s="388"/>
      <c r="F663" s="388"/>
      <c r="G663" s="388"/>
      <c r="H663" s="388"/>
      <c r="I663" s="388"/>
      <c r="J663" s="388"/>
      <c r="K663" s="388"/>
      <c r="L663" s="388"/>
      <c r="M663" s="388"/>
      <c r="N663" s="388"/>
      <c r="O663" s="388"/>
      <c r="P663" s="388"/>
      <c r="Q663" s="388"/>
      <c r="R663" s="388"/>
      <c r="S663" s="388"/>
      <c r="T663" s="388"/>
      <c r="U663" s="388"/>
      <c r="V663" s="388"/>
      <c r="AA663" s="256"/>
    </row>
    <row r="664">
      <c r="A664" s="388"/>
      <c r="B664" s="388"/>
      <c r="C664" s="388"/>
      <c r="D664" s="388"/>
      <c r="E664" s="388"/>
      <c r="F664" s="388"/>
      <c r="G664" s="388"/>
      <c r="H664" s="388"/>
      <c r="I664" s="388"/>
      <c r="J664" s="388"/>
      <c r="K664" s="388"/>
      <c r="L664" s="388"/>
      <c r="M664" s="388"/>
      <c r="N664" s="388"/>
      <c r="O664" s="388"/>
      <c r="P664" s="388"/>
      <c r="Q664" s="388"/>
      <c r="R664" s="388"/>
      <c r="S664" s="388"/>
      <c r="T664" s="388"/>
      <c r="U664" s="388"/>
      <c r="V664" s="388"/>
      <c r="AA664" s="256"/>
    </row>
    <row r="665">
      <c r="A665" s="388"/>
      <c r="B665" s="388"/>
      <c r="C665" s="388"/>
      <c r="D665" s="388"/>
      <c r="E665" s="388"/>
      <c r="F665" s="388"/>
      <c r="G665" s="388"/>
      <c r="H665" s="388"/>
      <c r="I665" s="388"/>
      <c r="J665" s="388"/>
      <c r="K665" s="388"/>
      <c r="L665" s="388"/>
      <c r="M665" s="388"/>
      <c r="N665" s="388"/>
      <c r="O665" s="388"/>
      <c r="P665" s="388"/>
      <c r="Q665" s="388"/>
      <c r="R665" s="388"/>
      <c r="S665" s="388"/>
      <c r="T665" s="388"/>
      <c r="U665" s="388"/>
      <c r="V665" s="388"/>
      <c r="AA665" s="256"/>
    </row>
    <row r="666">
      <c r="A666" s="388"/>
      <c r="B666" s="388"/>
      <c r="C666" s="388"/>
      <c r="D666" s="388"/>
      <c r="E666" s="388"/>
      <c r="F666" s="388"/>
      <c r="G666" s="388"/>
      <c r="H666" s="388"/>
      <c r="I666" s="388"/>
      <c r="J666" s="388"/>
      <c r="K666" s="388"/>
      <c r="L666" s="388"/>
      <c r="M666" s="388"/>
      <c r="N666" s="388"/>
      <c r="O666" s="388"/>
      <c r="P666" s="388"/>
      <c r="Q666" s="388"/>
      <c r="R666" s="388"/>
      <c r="S666" s="388"/>
      <c r="T666" s="388"/>
      <c r="U666" s="388"/>
      <c r="V666" s="388"/>
      <c r="AA666" s="256"/>
    </row>
    <row r="667">
      <c r="A667" s="388"/>
      <c r="B667" s="388"/>
      <c r="C667" s="388"/>
      <c r="D667" s="388"/>
      <c r="E667" s="388"/>
      <c r="F667" s="388"/>
      <c r="G667" s="388"/>
      <c r="H667" s="388"/>
      <c r="I667" s="388"/>
      <c r="J667" s="388"/>
      <c r="K667" s="388"/>
      <c r="L667" s="388"/>
      <c r="M667" s="388"/>
      <c r="N667" s="388"/>
      <c r="O667" s="388"/>
      <c r="P667" s="388"/>
      <c r="Q667" s="388"/>
      <c r="R667" s="388"/>
      <c r="S667" s="388"/>
      <c r="T667" s="388"/>
      <c r="U667" s="388"/>
      <c r="V667" s="388"/>
      <c r="AA667" s="256"/>
    </row>
    <row r="668">
      <c r="A668" s="388"/>
      <c r="B668" s="388"/>
      <c r="C668" s="388"/>
      <c r="D668" s="388"/>
      <c r="E668" s="388"/>
      <c r="F668" s="388"/>
      <c r="G668" s="388"/>
      <c r="H668" s="388"/>
      <c r="I668" s="388"/>
      <c r="J668" s="388"/>
      <c r="K668" s="388"/>
      <c r="L668" s="388"/>
      <c r="M668" s="388"/>
      <c r="N668" s="388"/>
      <c r="O668" s="388"/>
      <c r="P668" s="388"/>
      <c r="Q668" s="388"/>
      <c r="R668" s="388"/>
      <c r="S668" s="388"/>
      <c r="T668" s="388"/>
      <c r="U668" s="388"/>
      <c r="V668" s="388"/>
      <c r="AA668" s="256"/>
    </row>
    <row r="669">
      <c r="A669" s="388"/>
      <c r="B669" s="388"/>
      <c r="C669" s="388"/>
      <c r="D669" s="388"/>
      <c r="E669" s="388"/>
      <c r="F669" s="388"/>
      <c r="G669" s="388"/>
      <c r="H669" s="388"/>
      <c r="I669" s="388"/>
      <c r="J669" s="388"/>
      <c r="K669" s="388"/>
      <c r="L669" s="388"/>
      <c r="M669" s="388"/>
      <c r="N669" s="388"/>
      <c r="O669" s="388"/>
      <c r="P669" s="388"/>
      <c r="Q669" s="388"/>
      <c r="R669" s="388"/>
      <c r="S669" s="388"/>
      <c r="T669" s="388"/>
      <c r="U669" s="388"/>
      <c r="V669" s="388"/>
      <c r="AA669" s="256"/>
    </row>
    <row r="670">
      <c r="A670" s="388"/>
      <c r="B670" s="388"/>
      <c r="C670" s="388"/>
      <c r="D670" s="388"/>
      <c r="E670" s="388"/>
      <c r="F670" s="388"/>
      <c r="G670" s="388"/>
      <c r="H670" s="388"/>
      <c r="I670" s="388"/>
      <c r="J670" s="388"/>
      <c r="K670" s="388"/>
      <c r="L670" s="388"/>
      <c r="M670" s="388"/>
      <c r="N670" s="388"/>
      <c r="O670" s="388"/>
      <c r="P670" s="388"/>
      <c r="Q670" s="388"/>
      <c r="R670" s="388"/>
      <c r="S670" s="388"/>
      <c r="T670" s="388"/>
      <c r="U670" s="388"/>
      <c r="V670" s="388"/>
      <c r="AA670" s="256"/>
    </row>
    <row r="671">
      <c r="A671" s="388"/>
      <c r="B671" s="388"/>
      <c r="C671" s="388"/>
      <c r="D671" s="388"/>
      <c r="E671" s="388"/>
      <c r="F671" s="388"/>
      <c r="G671" s="388"/>
      <c r="H671" s="388"/>
      <c r="I671" s="388"/>
      <c r="J671" s="388"/>
      <c r="K671" s="388"/>
      <c r="L671" s="388"/>
      <c r="M671" s="388"/>
      <c r="N671" s="388"/>
      <c r="O671" s="388"/>
      <c r="P671" s="388"/>
      <c r="Q671" s="388"/>
      <c r="R671" s="388"/>
      <c r="S671" s="388"/>
      <c r="T671" s="388"/>
      <c r="U671" s="388"/>
      <c r="V671" s="388"/>
      <c r="AA671" s="256"/>
    </row>
    <row r="672">
      <c r="A672" s="388"/>
      <c r="B672" s="388"/>
      <c r="C672" s="388"/>
      <c r="D672" s="388"/>
      <c r="E672" s="388"/>
      <c r="F672" s="388"/>
      <c r="G672" s="388"/>
      <c r="H672" s="388"/>
      <c r="I672" s="388"/>
      <c r="J672" s="388"/>
      <c r="K672" s="388"/>
      <c r="L672" s="388"/>
      <c r="M672" s="388"/>
      <c r="N672" s="388"/>
      <c r="O672" s="388"/>
      <c r="P672" s="388"/>
      <c r="Q672" s="388"/>
      <c r="R672" s="388"/>
      <c r="S672" s="388"/>
      <c r="T672" s="388"/>
      <c r="U672" s="388"/>
      <c r="V672" s="388"/>
      <c r="AA672" s="256"/>
    </row>
    <row r="673">
      <c r="A673" s="388"/>
      <c r="B673" s="388"/>
      <c r="C673" s="388"/>
      <c r="D673" s="388"/>
      <c r="E673" s="388"/>
      <c r="F673" s="388"/>
      <c r="G673" s="388"/>
      <c r="H673" s="388"/>
      <c r="I673" s="388"/>
      <c r="J673" s="388"/>
      <c r="K673" s="388"/>
      <c r="L673" s="388"/>
      <c r="M673" s="388"/>
      <c r="N673" s="388"/>
      <c r="O673" s="388"/>
      <c r="P673" s="388"/>
      <c r="Q673" s="388"/>
      <c r="R673" s="388"/>
      <c r="S673" s="388"/>
      <c r="T673" s="388"/>
      <c r="U673" s="388"/>
      <c r="V673" s="388"/>
      <c r="AA673" s="256"/>
    </row>
    <row r="674">
      <c r="A674" s="388"/>
      <c r="B674" s="388"/>
      <c r="C674" s="388"/>
      <c r="D674" s="388"/>
      <c r="E674" s="388"/>
      <c r="F674" s="388"/>
      <c r="G674" s="388"/>
      <c r="H674" s="388"/>
      <c r="I674" s="388"/>
      <c r="J674" s="388"/>
      <c r="K674" s="388"/>
      <c r="L674" s="388"/>
      <c r="M674" s="388"/>
      <c r="N674" s="388"/>
      <c r="O674" s="388"/>
      <c r="P674" s="388"/>
      <c r="Q674" s="388"/>
      <c r="R674" s="388"/>
      <c r="S674" s="388"/>
      <c r="T674" s="388"/>
      <c r="U674" s="388"/>
      <c r="V674" s="388"/>
      <c r="AA674" s="256"/>
    </row>
    <row r="675">
      <c r="A675" s="388"/>
      <c r="B675" s="388"/>
      <c r="C675" s="388"/>
      <c r="D675" s="388"/>
      <c r="E675" s="388"/>
      <c r="F675" s="388"/>
      <c r="G675" s="388"/>
      <c r="H675" s="388"/>
      <c r="I675" s="388"/>
      <c r="J675" s="388"/>
      <c r="K675" s="388"/>
      <c r="L675" s="388"/>
      <c r="M675" s="388"/>
      <c r="N675" s="388"/>
      <c r="O675" s="388"/>
      <c r="P675" s="388"/>
      <c r="Q675" s="388"/>
      <c r="R675" s="388"/>
      <c r="S675" s="388"/>
      <c r="T675" s="388"/>
      <c r="U675" s="388"/>
      <c r="V675" s="388"/>
      <c r="AA675" s="256"/>
    </row>
    <row r="676">
      <c r="A676" s="388"/>
      <c r="B676" s="388"/>
      <c r="C676" s="388"/>
      <c r="D676" s="388"/>
      <c r="E676" s="388"/>
      <c r="F676" s="388"/>
      <c r="G676" s="388"/>
      <c r="H676" s="388"/>
      <c r="I676" s="388"/>
      <c r="J676" s="388"/>
      <c r="K676" s="388"/>
      <c r="L676" s="388"/>
      <c r="M676" s="388"/>
      <c r="N676" s="388"/>
      <c r="O676" s="388"/>
      <c r="P676" s="388"/>
      <c r="Q676" s="388"/>
      <c r="R676" s="388"/>
      <c r="S676" s="388"/>
      <c r="T676" s="388"/>
      <c r="U676" s="388"/>
      <c r="V676" s="388"/>
      <c r="AA676" s="256"/>
    </row>
    <row r="677">
      <c r="A677" s="388"/>
      <c r="B677" s="388"/>
      <c r="C677" s="388"/>
      <c r="D677" s="388"/>
      <c r="E677" s="388"/>
      <c r="F677" s="388"/>
      <c r="G677" s="388"/>
      <c r="H677" s="388"/>
      <c r="I677" s="388"/>
      <c r="J677" s="388"/>
      <c r="K677" s="388"/>
      <c r="L677" s="388"/>
      <c r="M677" s="388"/>
      <c r="N677" s="388"/>
      <c r="O677" s="388"/>
      <c r="P677" s="388"/>
      <c r="Q677" s="388"/>
      <c r="R677" s="388"/>
      <c r="S677" s="388"/>
      <c r="T677" s="388"/>
      <c r="U677" s="388"/>
      <c r="V677" s="388"/>
      <c r="AA677" s="256"/>
    </row>
    <row r="678">
      <c r="A678" s="388"/>
      <c r="B678" s="388"/>
      <c r="C678" s="388"/>
      <c r="D678" s="388"/>
      <c r="E678" s="388"/>
      <c r="F678" s="388"/>
      <c r="G678" s="388"/>
      <c r="H678" s="388"/>
      <c r="I678" s="388"/>
      <c r="J678" s="388"/>
      <c r="K678" s="388"/>
      <c r="L678" s="388"/>
      <c r="M678" s="388"/>
      <c r="N678" s="388"/>
      <c r="O678" s="388"/>
      <c r="P678" s="388"/>
      <c r="Q678" s="388"/>
      <c r="R678" s="388"/>
      <c r="S678" s="388"/>
      <c r="T678" s="388"/>
      <c r="U678" s="388"/>
      <c r="V678" s="388"/>
      <c r="AA678" s="256"/>
    </row>
    <row r="679">
      <c r="A679" s="388"/>
      <c r="B679" s="388"/>
      <c r="C679" s="388"/>
      <c r="D679" s="388"/>
      <c r="E679" s="388"/>
      <c r="F679" s="388"/>
      <c r="G679" s="388"/>
      <c r="H679" s="388"/>
      <c r="I679" s="388"/>
      <c r="J679" s="388"/>
      <c r="K679" s="388"/>
      <c r="L679" s="388"/>
      <c r="M679" s="388"/>
      <c r="N679" s="388"/>
      <c r="O679" s="388"/>
      <c r="P679" s="388"/>
      <c r="Q679" s="388"/>
      <c r="R679" s="388"/>
      <c r="S679" s="388"/>
      <c r="T679" s="388"/>
      <c r="U679" s="388"/>
      <c r="V679" s="388"/>
      <c r="AA679" s="256"/>
    </row>
    <row r="680">
      <c r="A680" s="388"/>
      <c r="B680" s="388"/>
      <c r="C680" s="388"/>
      <c r="D680" s="388"/>
      <c r="E680" s="388"/>
      <c r="F680" s="388"/>
      <c r="G680" s="388"/>
      <c r="H680" s="388"/>
      <c r="I680" s="388"/>
      <c r="J680" s="388"/>
      <c r="K680" s="388"/>
      <c r="L680" s="388"/>
      <c r="M680" s="388"/>
      <c r="N680" s="388"/>
      <c r="O680" s="388"/>
      <c r="P680" s="388"/>
      <c r="Q680" s="388"/>
      <c r="R680" s="388"/>
      <c r="S680" s="388"/>
      <c r="T680" s="388"/>
      <c r="U680" s="388"/>
      <c r="V680" s="388"/>
      <c r="AA680" s="256"/>
    </row>
    <row r="681">
      <c r="A681" s="388"/>
      <c r="B681" s="388"/>
      <c r="C681" s="388"/>
      <c r="D681" s="388"/>
      <c r="E681" s="388"/>
      <c r="F681" s="388"/>
      <c r="G681" s="388"/>
      <c r="H681" s="388"/>
      <c r="I681" s="388"/>
      <c r="J681" s="388"/>
      <c r="K681" s="388"/>
      <c r="L681" s="388"/>
      <c r="M681" s="388"/>
      <c r="N681" s="388"/>
      <c r="O681" s="388"/>
      <c r="P681" s="388"/>
      <c r="Q681" s="388"/>
      <c r="R681" s="388"/>
      <c r="S681" s="388"/>
      <c r="T681" s="388"/>
      <c r="U681" s="388"/>
      <c r="V681" s="388"/>
      <c r="AA681" s="256"/>
    </row>
    <row r="682">
      <c r="A682" s="388"/>
      <c r="B682" s="388"/>
      <c r="C682" s="388"/>
      <c r="D682" s="388"/>
      <c r="E682" s="388"/>
      <c r="F682" s="388"/>
      <c r="G682" s="388"/>
      <c r="H682" s="388"/>
      <c r="I682" s="388"/>
      <c r="J682" s="388"/>
      <c r="K682" s="388"/>
      <c r="L682" s="388"/>
      <c r="M682" s="388"/>
      <c r="N682" s="388"/>
      <c r="O682" s="388"/>
      <c r="P682" s="388"/>
      <c r="Q682" s="388"/>
      <c r="R682" s="388"/>
      <c r="S682" s="388"/>
      <c r="T682" s="388"/>
      <c r="U682" s="388"/>
      <c r="V682" s="388"/>
      <c r="AA682" s="256"/>
    </row>
    <row r="683">
      <c r="A683" s="388"/>
      <c r="B683" s="388"/>
      <c r="C683" s="388"/>
      <c r="D683" s="388"/>
      <c r="E683" s="388"/>
      <c r="F683" s="388"/>
      <c r="G683" s="388"/>
      <c r="H683" s="388"/>
      <c r="I683" s="388"/>
      <c r="J683" s="388"/>
      <c r="K683" s="388"/>
      <c r="L683" s="388"/>
      <c r="M683" s="388"/>
      <c r="N683" s="388"/>
      <c r="O683" s="388"/>
      <c r="P683" s="388"/>
      <c r="Q683" s="388"/>
      <c r="R683" s="388"/>
      <c r="S683" s="388"/>
      <c r="T683" s="388"/>
      <c r="U683" s="388"/>
      <c r="V683" s="388"/>
      <c r="AA683" s="256"/>
    </row>
    <row r="684">
      <c r="A684" s="388"/>
      <c r="B684" s="388"/>
      <c r="C684" s="388"/>
      <c r="D684" s="388"/>
      <c r="E684" s="388"/>
      <c r="F684" s="388"/>
      <c r="G684" s="388"/>
      <c r="H684" s="388"/>
      <c r="I684" s="388"/>
      <c r="J684" s="388"/>
      <c r="K684" s="388"/>
      <c r="L684" s="388"/>
      <c r="M684" s="388"/>
      <c r="N684" s="388"/>
      <c r="O684" s="388"/>
      <c r="P684" s="388"/>
      <c r="Q684" s="388"/>
      <c r="R684" s="388"/>
      <c r="S684" s="388"/>
      <c r="T684" s="388"/>
      <c r="U684" s="388"/>
      <c r="V684" s="388"/>
      <c r="AA684" s="256"/>
    </row>
    <row r="685">
      <c r="A685" s="388"/>
      <c r="B685" s="388"/>
      <c r="C685" s="388"/>
      <c r="D685" s="388"/>
      <c r="E685" s="388"/>
      <c r="F685" s="388"/>
      <c r="G685" s="388"/>
      <c r="H685" s="388"/>
      <c r="I685" s="388"/>
      <c r="J685" s="388"/>
      <c r="K685" s="388"/>
      <c r="L685" s="388"/>
      <c r="M685" s="388"/>
      <c r="N685" s="388"/>
      <c r="O685" s="388"/>
      <c r="P685" s="388"/>
      <c r="Q685" s="388"/>
      <c r="R685" s="388"/>
      <c r="S685" s="388"/>
      <c r="T685" s="388"/>
      <c r="U685" s="388"/>
      <c r="V685" s="388"/>
      <c r="AA685" s="256"/>
    </row>
    <row r="686">
      <c r="A686" s="388"/>
      <c r="B686" s="388"/>
      <c r="C686" s="388"/>
      <c r="D686" s="388"/>
      <c r="E686" s="388"/>
      <c r="F686" s="388"/>
      <c r="G686" s="388"/>
      <c r="H686" s="388"/>
      <c r="I686" s="388"/>
      <c r="J686" s="388"/>
      <c r="K686" s="388"/>
      <c r="L686" s="388"/>
      <c r="M686" s="388"/>
      <c r="N686" s="388"/>
      <c r="O686" s="388"/>
      <c r="P686" s="388"/>
      <c r="Q686" s="388"/>
      <c r="R686" s="388"/>
      <c r="S686" s="388"/>
      <c r="T686" s="388"/>
      <c r="U686" s="388"/>
      <c r="V686" s="388"/>
      <c r="AA686" s="256"/>
    </row>
    <row r="687">
      <c r="A687" s="388"/>
      <c r="B687" s="388"/>
      <c r="C687" s="388"/>
      <c r="D687" s="388"/>
      <c r="E687" s="388"/>
      <c r="F687" s="388"/>
      <c r="G687" s="388"/>
      <c r="H687" s="388"/>
      <c r="I687" s="388"/>
      <c r="J687" s="388"/>
      <c r="K687" s="388"/>
      <c r="L687" s="388"/>
      <c r="M687" s="388"/>
      <c r="N687" s="388"/>
      <c r="O687" s="388"/>
      <c r="P687" s="388"/>
      <c r="Q687" s="388"/>
      <c r="R687" s="388"/>
      <c r="S687" s="388"/>
      <c r="T687" s="388"/>
      <c r="U687" s="388"/>
      <c r="V687" s="388"/>
      <c r="AA687" s="256"/>
    </row>
    <row r="688">
      <c r="A688" s="388"/>
      <c r="B688" s="388"/>
      <c r="C688" s="388"/>
      <c r="D688" s="388"/>
      <c r="E688" s="388"/>
      <c r="F688" s="388"/>
      <c r="G688" s="388"/>
      <c r="H688" s="388"/>
      <c r="I688" s="388"/>
      <c r="J688" s="388"/>
      <c r="K688" s="388"/>
      <c r="L688" s="388"/>
      <c r="M688" s="388"/>
      <c r="N688" s="388"/>
      <c r="O688" s="388"/>
      <c r="P688" s="388"/>
      <c r="Q688" s="388"/>
      <c r="R688" s="388"/>
      <c r="S688" s="388"/>
      <c r="T688" s="388"/>
      <c r="U688" s="388"/>
      <c r="V688" s="388"/>
      <c r="AA688" s="256"/>
    </row>
    <row r="689">
      <c r="A689" s="388"/>
      <c r="B689" s="388"/>
      <c r="C689" s="388"/>
      <c r="D689" s="388"/>
      <c r="E689" s="388"/>
      <c r="F689" s="388"/>
      <c r="G689" s="388"/>
      <c r="H689" s="388"/>
      <c r="I689" s="388"/>
      <c r="J689" s="388"/>
      <c r="K689" s="388"/>
      <c r="L689" s="388"/>
      <c r="M689" s="388"/>
      <c r="N689" s="388"/>
      <c r="O689" s="388"/>
      <c r="P689" s="388"/>
      <c r="Q689" s="388"/>
      <c r="R689" s="388"/>
      <c r="S689" s="388"/>
      <c r="T689" s="388"/>
      <c r="U689" s="388"/>
      <c r="V689" s="388"/>
      <c r="AA689" s="256"/>
    </row>
    <row r="690">
      <c r="A690" s="388"/>
      <c r="B690" s="388"/>
      <c r="C690" s="388"/>
      <c r="D690" s="388"/>
      <c r="E690" s="388"/>
      <c r="F690" s="388"/>
      <c r="G690" s="388"/>
      <c r="H690" s="388"/>
      <c r="I690" s="388"/>
      <c r="J690" s="388"/>
      <c r="K690" s="388"/>
      <c r="L690" s="388"/>
      <c r="M690" s="388"/>
      <c r="N690" s="388"/>
      <c r="O690" s="388"/>
      <c r="P690" s="388"/>
      <c r="Q690" s="388"/>
      <c r="R690" s="388"/>
      <c r="S690" s="388"/>
      <c r="T690" s="388"/>
      <c r="U690" s="388"/>
      <c r="V690" s="388"/>
      <c r="AA690" s="256"/>
    </row>
    <row r="691">
      <c r="A691" s="388"/>
      <c r="B691" s="388"/>
      <c r="C691" s="388"/>
      <c r="D691" s="388"/>
      <c r="E691" s="388"/>
      <c r="F691" s="388"/>
      <c r="G691" s="388"/>
      <c r="H691" s="388"/>
      <c r="I691" s="388"/>
      <c r="J691" s="388"/>
      <c r="K691" s="388"/>
      <c r="L691" s="388"/>
      <c r="M691" s="388"/>
      <c r="N691" s="388"/>
      <c r="O691" s="388"/>
      <c r="P691" s="388"/>
      <c r="Q691" s="388"/>
      <c r="R691" s="388"/>
      <c r="S691" s="388"/>
      <c r="T691" s="388"/>
      <c r="U691" s="388"/>
      <c r="V691" s="388"/>
      <c r="AA691" s="256"/>
    </row>
    <row r="692">
      <c r="A692" s="388"/>
      <c r="B692" s="388"/>
      <c r="C692" s="388"/>
      <c r="D692" s="388"/>
      <c r="E692" s="388"/>
      <c r="F692" s="388"/>
      <c r="G692" s="388"/>
      <c r="H692" s="388"/>
      <c r="I692" s="388"/>
      <c r="J692" s="388"/>
      <c r="K692" s="388"/>
      <c r="L692" s="388"/>
      <c r="M692" s="388"/>
      <c r="N692" s="388"/>
      <c r="O692" s="388"/>
      <c r="P692" s="388"/>
      <c r="Q692" s="388"/>
      <c r="R692" s="388"/>
      <c r="S692" s="388"/>
      <c r="T692" s="388"/>
      <c r="U692" s="388"/>
      <c r="V692" s="388"/>
      <c r="AA692" s="256"/>
    </row>
    <row r="693">
      <c r="A693" s="388"/>
      <c r="B693" s="388"/>
      <c r="C693" s="388"/>
      <c r="D693" s="388"/>
      <c r="E693" s="388"/>
      <c r="F693" s="388"/>
      <c r="G693" s="388"/>
      <c r="H693" s="388"/>
      <c r="I693" s="388"/>
      <c r="J693" s="388"/>
      <c r="K693" s="388"/>
      <c r="L693" s="388"/>
      <c r="M693" s="388"/>
      <c r="N693" s="388"/>
      <c r="O693" s="388"/>
      <c r="P693" s="388"/>
      <c r="Q693" s="388"/>
      <c r="R693" s="388"/>
      <c r="S693" s="388"/>
      <c r="T693" s="388"/>
      <c r="U693" s="388"/>
      <c r="V693" s="388"/>
      <c r="AA693" s="256"/>
    </row>
    <row r="694">
      <c r="A694" s="388"/>
      <c r="B694" s="388"/>
      <c r="C694" s="388"/>
      <c r="D694" s="388"/>
      <c r="E694" s="388"/>
      <c r="F694" s="388"/>
      <c r="G694" s="388"/>
      <c r="H694" s="388"/>
      <c r="I694" s="388"/>
      <c r="J694" s="388"/>
      <c r="K694" s="388"/>
      <c r="L694" s="388"/>
      <c r="M694" s="388"/>
      <c r="N694" s="388"/>
      <c r="O694" s="388"/>
      <c r="P694" s="388"/>
      <c r="Q694" s="388"/>
      <c r="R694" s="388"/>
      <c r="S694" s="388"/>
      <c r="T694" s="388"/>
      <c r="U694" s="388"/>
      <c r="V694" s="388"/>
      <c r="AA694" s="256"/>
    </row>
    <row r="695">
      <c r="A695" s="388"/>
      <c r="B695" s="388"/>
      <c r="C695" s="388"/>
      <c r="D695" s="388"/>
      <c r="E695" s="388"/>
      <c r="F695" s="388"/>
      <c r="G695" s="388"/>
      <c r="H695" s="388"/>
      <c r="I695" s="388"/>
      <c r="J695" s="388"/>
      <c r="K695" s="388"/>
      <c r="L695" s="388"/>
      <c r="M695" s="388"/>
      <c r="N695" s="388"/>
      <c r="O695" s="388"/>
      <c r="P695" s="388"/>
      <c r="Q695" s="388"/>
      <c r="R695" s="388"/>
      <c r="S695" s="388"/>
      <c r="T695" s="388"/>
      <c r="U695" s="388"/>
      <c r="V695" s="388"/>
      <c r="AA695" s="256"/>
    </row>
    <row r="696">
      <c r="A696" s="388"/>
      <c r="B696" s="388"/>
      <c r="C696" s="388"/>
      <c r="D696" s="388"/>
      <c r="E696" s="388"/>
      <c r="F696" s="388"/>
      <c r="G696" s="388"/>
      <c r="H696" s="388"/>
      <c r="I696" s="388"/>
      <c r="J696" s="388"/>
      <c r="K696" s="388"/>
      <c r="L696" s="388"/>
      <c r="M696" s="388"/>
      <c r="N696" s="388"/>
      <c r="O696" s="388"/>
      <c r="P696" s="388"/>
      <c r="Q696" s="388"/>
      <c r="R696" s="388"/>
      <c r="S696" s="388"/>
      <c r="T696" s="388"/>
      <c r="U696" s="388"/>
      <c r="V696" s="388"/>
      <c r="AA696" s="256"/>
    </row>
    <row r="697">
      <c r="A697" s="388"/>
      <c r="B697" s="388"/>
      <c r="C697" s="388"/>
      <c r="D697" s="388"/>
      <c r="E697" s="388"/>
      <c r="F697" s="388"/>
      <c r="G697" s="388"/>
      <c r="H697" s="388"/>
      <c r="I697" s="388"/>
      <c r="J697" s="388"/>
      <c r="K697" s="388"/>
      <c r="L697" s="388"/>
      <c r="M697" s="388"/>
      <c r="N697" s="388"/>
      <c r="O697" s="388"/>
      <c r="P697" s="388"/>
      <c r="Q697" s="388"/>
      <c r="R697" s="388"/>
      <c r="S697" s="388"/>
      <c r="T697" s="388"/>
      <c r="U697" s="388"/>
      <c r="V697" s="388"/>
      <c r="AA697" s="256"/>
    </row>
    <row r="698">
      <c r="A698" s="388"/>
      <c r="B698" s="388"/>
      <c r="C698" s="388"/>
      <c r="D698" s="388"/>
      <c r="E698" s="388"/>
      <c r="F698" s="388"/>
      <c r="G698" s="388"/>
      <c r="H698" s="388"/>
      <c r="I698" s="388"/>
      <c r="J698" s="388"/>
      <c r="K698" s="388"/>
      <c r="L698" s="388"/>
      <c r="M698" s="388"/>
      <c r="N698" s="388"/>
      <c r="O698" s="388"/>
      <c r="P698" s="388"/>
      <c r="Q698" s="388"/>
      <c r="R698" s="388"/>
      <c r="S698" s="388"/>
      <c r="T698" s="388"/>
      <c r="U698" s="388"/>
      <c r="V698" s="388"/>
      <c r="AA698" s="256"/>
    </row>
    <row r="699">
      <c r="A699" s="388"/>
      <c r="B699" s="388"/>
      <c r="C699" s="388"/>
      <c r="D699" s="388"/>
      <c r="E699" s="388"/>
      <c r="F699" s="388"/>
      <c r="G699" s="388"/>
      <c r="H699" s="388"/>
      <c r="I699" s="388"/>
      <c r="J699" s="388"/>
      <c r="K699" s="388"/>
      <c r="L699" s="388"/>
      <c r="M699" s="388"/>
      <c r="N699" s="388"/>
      <c r="O699" s="388"/>
      <c r="P699" s="388"/>
      <c r="Q699" s="388"/>
      <c r="R699" s="388"/>
      <c r="S699" s="388"/>
      <c r="T699" s="388"/>
      <c r="U699" s="388"/>
      <c r="V699" s="388"/>
      <c r="AA699" s="256"/>
    </row>
    <row r="700">
      <c r="A700" s="388"/>
      <c r="B700" s="388"/>
      <c r="C700" s="388"/>
      <c r="D700" s="388"/>
      <c r="E700" s="388"/>
      <c r="F700" s="388"/>
      <c r="G700" s="388"/>
      <c r="H700" s="388"/>
      <c r="I700" s="388"/>
      <c r="J700" s="388"/>
      <c r="K700" s="388"/>
      <c r="L700" s="388"/>
      <c r="M700" s="388"/>
      <c r="N700" s="388"/>
      <c r="O700" s="388"/>
      <c r="P700" s="388"/>
      <c r="Q700" s="388"/>
      <c r="R700" s="388"/>
      <c r="S700" s="388"/>
      <c r="T700" s="388"/>
      <c r="U700" s="388"/>
      <c r="V700" s="388"/>
      <c r="AA700" s="256"/>
    </row>
    <row r="701">
      <c r="A701" s="388"/>
      <c r="B701" s="388"/>
      <c r="C701" s="388"/>
      <c r="D701" s="388"/>
      <c r="E701" s="388"/>
      <c r="F701" s="388"/>
      <c r="G701" s="388"/>
      <c r="H701" s="388"/>
      <c r="I701" s="388"/>
      <c r="J701" s="388"/>
      <c r="K701" s="388"/>
      <c r="L701" s="388"/>
      <c r="M701" s="388"/>
      <c r="N701" s="388"/>
      <c r="O701" s="388"/>
      <c r="P701" s="388"/>
      <c r="Q701" s="388"/>
      <c r="R701" s="388"/>
      <c r="S701" s="388"/>
      <c r="T701" s="388"/>
      <c r="U701" s="388"/>
      <c r="V701" s="388"/>
      <c r="AA701" s="256"/>
    </row>
    <row r="702">
      <c r="A702" s="388"/>
      <c r="B702" s="388"/>
      <c r="C702" s="388"/>
      <c r="D702" s="388"/>
      <c r="E702" s="388"/>
      <c r="F702" s="388"/>
      <c r="G702" s="388"/>
      <c r="H702" s="388"/>
      <c r="I702" s="388"/>
      <c r="J702" s="388"/>
      <c r="K702" s="388"/>
      <c r="L702" s="388"/>
      <c r="M702" s="388"/>
      <c r="N702" s="388"/>
      <c r="O702" s="388"/>
      <c r="P702" s="388"/>
      <c r="Q702" s="388"/>
      <c r="R702" s="388"/>
      <c r="S702" s="388"/>
      <c r="T702" s="388"/>
      <c r="U702" s="388"/>
      <c r="V702" s="388"/>
      <c r="AA702" s="256"/>
    </row>
    <row r="703">
      <c r="A703" s="388"/>
      <c r="B703" s="388"/>
      <c r="C703" s="388"/>
      <c r="D703" s="388"/>
      <c r="E703" s="388"/>
      <c r="F703" s="388"/>
      <c r="G703" s="388"/>
      <c r="H703" s="388"/>
      <c r="I703" s="388"/>
      <c r="J703" s="388"/>
      <c r="K703" s="388"/>
      <c r="L703" s="388"/>
      <c r="M703" s="388"/>
      <c r="N703" s="388"/>
      <c r="O703" s="388"/>
      <c r="P703" s="388"/>
      <c r="Q703" s="388"/>
      <c r="R703" s="388"/>
      <c r="S703" s="388"/>
      <c r="T703" s="388"/>
      <c r="U703" s="388"/>
      <c r="V703" s="388"/>
      <c r="AA703" s="256"/>
    </row>
    <row r="704">
      <c r="A704" s="388"/>
      <c r="B704" s="388"/>
      <c r="C704" s="388"/>
      <c r="D704" s="388"/>
      <c r="E704" s="388"/>
      <c r="F704" s="388"/>
      <c r="G704" s="388"/>
      <c r="H704" s="388"/>
      <c r="I704" s="388"/>
      <c r="J704" s="388"/>
      <c r="K704" s="388"/>
      <c r="L704" s="388"/>
      <c r="M704" s="388"/>
      <c r="N704" s="388"/>
      <c r="O704" s="388"/>
      <c r="P704" s="388"/>
      <c r="Q704" s="388"/>
      <c r="R704" s="388"/>
      <c r="S704" s="388"/>
      <c r="T704" s="388"/>
      <c r="U704" s="388"/>
      <c r="V704" s="388"/>
      <c r="AA704" s="256"/>
    </row>
    <row r="705">
      <c r="A705" s="388"/>
      <c r="B705" s="388"/>
      <c r="C705" s="388"/>
      <c r="D705" s="388"/>
      <c r="E705" s="388"/>
      <c r="F705" s="388"/>
      <c r="G705" s="388"/>
      <c r="H705" s="388"/>
      <c r="I705" s="388"/>
      <c r="J705" s="388"/>
      <c r="K705" s="388"/>
      <c r="L705" s="388"/>
      <c r="M705" s="388"/>
      <c r="N705" s="388"/>
      <c r="O705" s="388"/>
      <c r="P705" s="388"/>
      <c r="Q705" s="388"/>
      <c r="R705" s="388"/>
      <c r="S705" s="388"/>
      <c r="T705" s="388"/>
      <c r="U705" s="388"/>
      <c r="V705" s="388"/>
      <c r="AA705" s="256"/>
    </row>
    <row r="706">
      <c r="A706" s="388"/>
      <c r="B706" s="388"/>
      <c r="C706" s="388"/>
      <c r="D706" s="388"/>
      <c r="E706" s="388"/>
      <c r="F706" s="388"/>
      <c r="G706" s="388"/>
      <c r="H706" s="388"/>
      <c r="I706" s="388"/>
      <c r="J706" s="388"/>
      <c r="K706" s="388"/>
      <c r="L706" s="388"/>
      <c r="M706" s="388"/>
      <c r="N706" s="388"/>
      <c r="O706" s="388"/>
      <c r="P706" s="388"/>
      <c r="Q706" s="388"/>
      <c r="R706" s="388"/>
      <c r="S706" s="388"/>
      <c r="T706" s="388"/>
      <c r="U706" s="388"/>
      <c r="V706" s="388"/>
      <c r="AA706" s="256"/>
    </row>
    <row r="707">
      <c r="A707" s="388"/>
      <c r="B707" s="388"/>
      <c r="C707" s="388"/>
      <c r="D707" s="388"/>
      <c r="E707" s="388"/>
      <c r="F707" s="388"/>
      <c r="G707" s="388"/>
      <c r="H707" s="388"/>
      <c r="I707" s="388"/>
      <c r="J707" s="388"/>
      <c r="K707" s="388"/>
      <c r="L707" s="388"/>
      <c r="M707" s="388"/>
      <c r="N707" s="388"/>
      <c r="O707" s="388"/>
      <c r="P707" s="388"/>
      <c r="Q707" s="388"/>
      <c r="R707" s="388"/>
      <c r="S707" s="388"/>
      <c r="T707" s="388"/>
      <c r="U707" s="388"/>
      <c r="V707" s="388"/>
      <c r="AA707" s="256"/>
    </row>
    <row r="708">
      <c r="A708" s="388"/>
      <c r="B708" s="388"/>
      <c r="C708" s="388"/>
      <c r="D708" s="388"/>
      <c r="E708" s="388"/>
      <c r="F708" s="388"/>
      <c r="G708" s="388"/>
      <c r="H708" s="388"/>
      <c r="I708" s="388"/>
      <c r="J708" s="388"/>
      <c r="K708" s="388"/>
      <c r="L708" s="388"/>
      <c r="M708" s="388"/>
      <c r="N708" s="388"/>
      <c r="O708" s="388"/>
      <c r="P708" s="388"/>
      <c r="Q708" s="388"/>
      <c r="R708" s="388"/>
      <c r="S708" s="388"/>
      <c r="T708" s="388"/>
      <c r="U708" s="388"/>
      <c r="V708" s="388"/>
      <c r="AA708" s="256"/>
    </row>
    <row r="709">
      <c r="A709" s="388"/>
      <c r="B709" s="388"/>
      <c r="C709" s="388"/>
      <c r="D709" s="388"/>
      <c r="E709" s="388"/>
      <c r="F709" s="388"/>
      <c r="G709" s="388"/>
      <c r="H709" s="388"/>
      <c r="I709" s="388"/>
      <c r="J709" s="388"/>
      <c r="K709" s="388"/>
      <c r="L709" s="388"/>
      <c r="M709" s="388"/>
      <c r="N709" s="388"/>
      <c r="O709" s="388"/>
      <c r="P709" s="388"/>
      <c r="Q709" s="388"/>
      <c r="R709" s="388"/>
      <c r="S709" s="388"/>
      <c r="T709" s="388"/>
      <c r="U709" s="388"/>
      <c r="V709" s="388"/>
      <c r="AA709" s="256"/>
    </row>
    <row r="710">
      <c r="A710" s="388"/>
      <c r="B710" s="388"/>
      <c r="C710" s="388"/>
      <c r="D710" s="388"/>
      <c r="E710" s="388"/>
      <c r="F710" s="388"/>
      <c r="G710" s="388"/>
      <c r="H710" s="388"/>
      <c r="I710" s="388"/>
      <c r="J710" s="388"/>
      <c r="K710" s="388"/>
      <c r="L710" s="388"/>
      <c r="M710" s="388"/>
      <c r="N710" s="388"/>
      <c r="O710" s="388"/>
      <c r="P710" s="388"/>
      <c r="Q710" s="388"/>
      <c r="R710" s="388"/>
      <c r="S710" s="388"/>
      <c r="T710" s="388"/>
      <c r="U710" s="388"/>
      <c r="V710" s="388"/>
      <c r="AA710" s="256"/>
    </row>
    <row r="711">
      <c r="A711" s="388"/>
      <c r="B711" s="388"/>
      <c r="C711" s="388"/>
      <c r="D711" s="388"/>
      <c r="E711" s="388"/>
      <c r="F711" s="388"/>
      <c r="G711" s="388"/>
      <c r="H711" s="388"/>
      <c r="I711" s="388"/>
      <c r="J711" s="388"/>
      <c r="K711" s="388"/>
      <c r="L711" s="388"/>
      <c r="M711" s="388"/>
      <c r="N711" s="388"/>
      <c r="O711" s="388"/>
      <c r="P711" s="388"/>
      <c r="Q711" s="388"/>
      <c r="R711" s="388"/>
      <c r="S711" s="388"/>
      <c r="T711" s="388"/>
      <c r="U711" s="388"/>
      <c r="V711" s="388"/>
      <c r="AA711" s="256"/>
    </row>
    <row r="712">
      <c r="A712" s="388"/>
      <c r="B712" s="388"/>
      <c r="C712" s="388"/>
      <c r="D712" s="388"/>
      <c r="E712" s="388"/>
      <c r="F712" s="388"/>
      <c r="G712" s="388"/>
      <c r="H712" s="388"/>
      <c r="I712" s="388"/>
      <c r="J712" s="388"/>
      <c r="K712" s="388"/>
      <c r="L712" s="388"/>
      <c r="M712" s="388"/>
      <c r="N712" s="388"/>
      <c r="O712" s="388"/>
      <c r="P712" s="388"/>
      <c r="Q712" s="388"/>
      <c r="R712" s="388"/>
      <c r="S712" s="388"/>
      <c r="T712" s="388"/>
      <c r="U712" s="388"/>
      <c r="V712" s="388"/>
      <c r="AA712" s="256"/>
    </row>
    <row r="713">
      <c r="A713" s="388"/>
      <c r="B713" s="388"/>
      <c r="C713" s="388"/>
      <c r="D713" s="388"/>
      <c r="E713" s="388"/>
      <c r="F713" s="388"/>
      <c r="G713" s="388"/>
      <c r="H713" s="388"/>
      <c r="I713" s="388"/>
      <c r="J713" s="388"/>
      <c r="K713" s="388"/>
      <c r="L713" s="388"/>
      <c r="M713" s="388"/>
      <c r="N713" s="388"/>
      <c r="O713" s="388"/>
      <c r="P713" s="388"/>
      <c r="Q713" s="388"/>
      <c r="R713" s="388"/>
      <c r="S713" s="388"/>
      <c r="T713" s="388"/>
      <c r="U713" s="388"/>
      <c r="V713" s="388"/>
      <c r="AA713" s="256"/>
    </row>
    <row r="714">
      <c r="A714" s="388"/>
      <c r="B714" s="388"/>
      <c r="C714" s="388"/>
      <c r="D714" s="388"/>
      <c r="E714" s="388"/>
      <c r="F714" s="388"/>
      <c r="G714" s="388"/>
      <c r="H714" s="388"/>
      <c r="I714" s="388"/>
      <c r="J714" s="388"/>
      <c r="K714" s="388"/>
      <c r="L714" s="388"/>
      <c r="M714" s="388"/>
      <c r="N714" s="388"/>
      <c r="O714" s="388"/>
      <c r="P714" s="388"/>
      <c r="Q714" s="388"/>
      <c r="R714" s="388"/>
      <c r="S714" s="388"/>
      <c r="T714" s="388"/>
      <c r="U714" s="388"/>
      <c r="V714" s="388"/>
      <c r="AA714" s="256"/>
    </row>
    <row r="715">
      <c r="A715" s="388"/>
      <c r="B715" s="388"/>
      <c r="C715" s="388"/>
      <c r="D715" s="388"/>
      <c r="E715" s="388"/>
      <c r="F715" s="388"/>
      <c r="G715" s="388"/>
      <c r="H715" s="388"/>
      <c r="I715" s="388"/>
      <c r="J715" s="388"/>
      <c r="K715" s="388"/>
      <c r="L715" s="388"/>
      <c r="M715" s="388"/>
      <c r="N715" s="388"/>
      <c r="O715" s="388"/>
      <c r="P715" s="388"/>
      <c r="Q715" s="388"/>
      <c r="R715" s="388"/>
      <c r="S715" s="388"/>
      <c r="T715" s="388"/>
      <c r="U715" s="388"/>
      <c r="V715" s="388"/>
      <c r="AA715" s="256"/>
    </row>
    <row r="716">
      <c r="A716" s="388"/>
      <c r="B716" s="388"/>
      <c r="C716" s="388"/>
      <c r="D716" s="388"/>
      <c r="E716" s="388"/>
      <c r="F716" s="388"/>
      <c r="G716" s="388"/>
      <c r="H716" s="388"/>
      <c r="I716" s="388"/>
      <c r="J716" s="388"/>
      <c r="K716" s="388"/>
      <c r="L716" s="388"/>
      <c r="M716" s="388"/>
      <c r="N716" s="388"/>
      <c r="O716" s="388"/>
      <c r="P716" s="388"/>
      <c r="Q716" s="388"/>
      <c r="R716" s="388"/>
      <c r="S716" s="388"/>
      <c r="T716" s="388"/>
      <c r="U716" s="388"/>
      <c r="V716" s="388"/>
      <c r="AA716" s="256"/>
    </row>
    <row r="717">
      <c r="A717" s="388"/>
      <c r="B717" s="388"/>
      <c r="C717" s="388"/>
      <c r="D717" s="388"/>
      <c r="E717" s="388"/>
      <c r="F717" s="388"/>
      <c r="G717" s="388"/>
      <c r="H717" s="388"/>
      <c r="I717" s="388"/>
      <c r="J717" s="388"/>
      <c r="K717" s="388"/>
      <c r="L717" s="388"/>
      <c r="M717" s="388"/>
      <c r="N717" s="388"/>
      <c r="O717" s="388"/>
      <c r="P717" s="388"/>
      <c r="Q717" s="388"/>
      <c r="R717" s="388"/>
      <c r="S717" s="388"/>
      <c r="T717" s="388"/>
      <c r="U717" s="388"/>
      <c r="V717" s="388"/>
      <c r="AA717" s="256"/>
    </row>
    <row r="718">
      <c r="A718" s="388"/>
      <c r="B718" s="388"/>
      <c r="C718" s="388"/>
      <c r="D718" s="388"/>
      <c r="E718" s="388"/>
      <c r="F718" s="388"/>
      <c r="G718" s="388"/>
      <c r="H718" s="388"/>
      <c r="I718" s="388"/>
      <c r="J718" s="388"/>
      <c r="K718" s="388"/>
      <c r="L718" s="388"/>
      <c r="M718" s="388"/>
      <c r="N718" s="388"/>
      <c r="O718" s="388"/>
      <c r="P718" s="388"/>
      <c r="Q718" s="388"/>
      <c r="R718" s="388"/>
      <c r="S718" s="388"/>
      <c r="T718" s="388"/>
      <c r="U718" s="388"/>
      <c r="V718" s="388"/>
      <c r="AA718" s="256"/>
    </row>
    <row r="719">
      <c r="A719" s="388"/>
      <c r="B719" s="388"/>
      <c r="C719" s="388"/>
      <c r="D719" s="388"/>
      <c r="E719" s="388"/>
      <c r="F719" s="388"/>
      <c r="G719" s="388"/>
      <c r="H719" s="388"/>
      <c r="I719" s="388"/>
      <c r="J719" s="388"/>
      <c r="K719" s="388"/>
      <c r="L719" s="388"/>
      <c r="M719" s="388"/>
      <c r="N719" s="388"/>
      <c r="O719" s="388"/>
      <c r="P719" s="388"/>
      <c r="Q719" s="388"/>
      <c r="R719" s="388"/>
      <c r="S719" s="388"/>
      <c r="T719" s="388"/>
      <c r="U719" s="388"/>
      <c r="V719" s="388"/>
      <c r="AA719" s="256"/>
    </row>
    <row r="720">
      <c r="A720" s="388"/>
      <c r="B720" s="388"/>
      <c r="C720" s="388"/>
      <c r="D720" s="388"/>
      <c r="E720" s="388"/>
      <c r="F720" s="388"/>
      <c r="G720" s="388"/>
      <c r="H720" s="388"/>
      <c r="I720" s="388"/>
      <c r="J720" s="388"/>
      <c r="K720" s="388"/>
      <c r="L720" s="388"/>
      <c r="M720" s="388"/>
      <c r="N720" s="388"/>
      <c r="O720" s="388"/>
      <c r="P720" s="388"/>
      <c r="Q720" s="388"/>
      <c r="R720" s="388"/>
      <c r="S720" s="388"/>
      <c r="T720" s="388"/>
      <c r="U720" s="388"/>
      <c r="V720" s="388"/>
      <c r="AA720" s="256"/>
    </row>
    <row r="721">
      <c r="A721" s="388"/>
      <c r="B721" s="388"/>
      <c r="C721" s="388"/>
      <c r="D721" s="388"/>
      <c r="E721" s="388"/>
      <c r="F721" s="388"/>
      <c r="G721" s="388"/>
      <c r="H721" s="388"/>
      <c r="I721" s="388"/>
      <c r="J721" s="388"/>
      <c r="K721" s="388"/>
      <c r="L721" s="388"/>
      <c r="M721" s="388"/>
      <c r="N721" s="388"/>
      <c r="O721" s="388"/>
      <c r="P721" s="388"/>
      <c r="Q721" s="388"/>
      <c r="R721" s="388"/>
      <c r="S721" s="388"/>
      <c r="T721" s="388"/>
      <c r="U721" s="388"/>
      <c r="V721" s="388"/>
      <c r="AA721" s="256"/>
    </row>
    <row r="722">
      <c r="A722" s="388"/>
      <c r="B722" s="388"/>
      <c r="C722" s="388"/>
      <c r="D722" s="388"/>
      <c r="E722" s="388"/>
      <c r="F722" s="388"/>
      <c r="G722" s="388"/>
      <c r="H722" s="388"/>
      <c r="I722" s="388"/>
      <c r="J722" s="388"/>
      <c r="K722" s="388"/>
      <c r="L722" s="388"/>
      <c r="M722" s="388"/>
      <c r="N722" s="388"/>
      <c r="O722" s="388"/>
      <c r="P722" s="388"/>
      <c r="Q722" s="388"/>
      <c r="R722" s="388"/>
      <c r="S722" s="388"/>
      <c r="T722" s="388"/>
      <c r="U722" s="388"/>
      <c r="V722" s="388"/>
      <c r="AA722" s="256"/>
    </row>
    <row r="723">
      <c r="A723" s="388"/>
      <c r="B723" s="388"/>
      <c r="C723" s="388"/>
      <c r="D723" s="388"/>
      <c r="E723" s="388"/>
      <c r="F723" s="388"/>
      <c r="G723" s="388"/>
      <c r="H723" s="388"/>
      <c r="I723" s="388"/>
      <c r="J723" s="388"/>
      <c r="K723" s="388"/>
      <c r="L723" s="388"/>
      <c r="M723" s="388"/>
      <c r="N723" s="388"/>
      <c r="O723" s="388"/>
      <c r="P723" s="388"/>
      <c r="Q723" s="388"/>
      <c r="R723" s="388"/>
      <c r="S723" s="388"/>
      <c r="T723" s="388"/>
      <c r="U723" s="388"/>
      <c r="V723" s="388"/>
      <c r="AA723" s="256"/>
    </row>
    <row r="724">
      <c r="A724" s="388"/>
      <c r="B724" s="388"/>
      <c r="C724" s="388"/>
      <c r="D724" s="388"/>
      <c r="E724" s="388"/>
      <c r="F724" s="388"/>
      <c r="G724" s="388"/>
      <c r="H724" s="388"/>
      <c r="I724" s="388"/>
      <c r="J724" s="388"/>
      <c r="K724" s="388"/>
      <c r="L724" s="388"/>
      <c r="M724" s="388"/>
      <c r="N724" s="388"/>
      <c r="O724" s="388"/>
      <c r="P724" s="388"/>
      <c r="Q724" s="388"/>
      <c r="R724" s="388"/>
      <c r="S724" s="388"/>
      <c r="T724" s="388"/>
      <c r="U724" s="388"/>
      <c r="V724" s="388"/>
      <c r="AA724" s="256"/>
    </row>
    <row r="725">
      <c r="A725" s="388"/>
      <c r="B725" s="388"/>
      <c r="C725" s="388"/>
      <c r="D725" s="388"/>
      <c r="E725" s="388"/>
      <c r="F725" s="388"/>
      <c r="G725" s="388"/>
      <c r="H725" s="388"/>
      <c r="I725" s="388"/>
      <c r="J725" s="388"/>
      <c r="K725" s="388"/>
      <c r="L725" s="388"/>
      <c r="M725" s="388"/>
      <c r="N725" s="388"/>
      <c r="O725" s="388"/>
      <c r="P725" s="388"/>
      <c r="Q725" s="388"/>
      <c r="R725" s="388"/>
      <c r="S725" s="388"/>
      <c r="T725" s="388"/>
      <c r="U725" s="388"/>
      <c r="V725" s="388"/>
      <c r="AA725" s="256"/>
    </row>
    <row r="726">
      <c r="A726" s="388"/>
      <c r="B726" s="388"/>
      <c r="C726" s="388"/>
      <c r="D726" s="388"/>
      <c r="E726" s="388"/>
      <c r="F726" s="388"/>
      <c r="G726" s="388"/>
      <c r="H726" s="388"/>
      <c r="I726" s="388"/>
      <c r="J726" s="388"/>
      <c r="K726" s="388"/>
      <c r="L726" s="388"/>
      <c r="M726" s="388"/>
      <c r="N726" s="388"/>
      <c r="O726" s="388"/>
      <c r="P726" s="388"/>
      <c r="Q726" s="388"/>
      <c r="R726" s="388"/>
      <c r="S726" s="388"/>
      <c r="T726" s="388"/>
      <c r="U726" s="388"/>
      <c r="V726" s="388"/>
      <c r="AA726" s="256"/>
    </row>
    <row r="727">
      <c r="A727" s="388"/>
      <c r="B727" s="388"/>
      <c r="C727" s="388"/>
      <c r="D727" s="388"/>
      <c r="E727" s="388"/>
      <c r="F727" s="388"/>
      <c r="G727" s="388"/>
      <c r="H727" s="388"/>
      <c r="I727" s="388"/>
      <c r="J727" s="388"/>
      <c r="K727" s="388"/>
      <c r="L727" s="388"/>
      <c r="M727" s="388"/>
      <c r="N727" s="388"/>
      <c r="O727" s="388"/>
      <c r="P727" s="388"/>
      <c r="Q727" s="388"/>
      <c r="R727" s="388"/>
      <c r="S727" s="388"/>
      <c r="T727" s="388"/>
      <c r="U727" s="388"/>
      <c r="V727" s="388"/>
      <c r="AA727" s="256"/>
    </row>
    <row r="728">
      <c r="A728" s="388"/>
      <c r="B728" s="388"/>
      <c r="C728" s="388"/>
      <c r="D728" s="388"/>
      <c r="E728" s="388"/>
      <c r="F728" s="388"/>
      <c r="G728" s="388"/>
      <c r="H728" s="388"/>
      <c r="I728" s="388"/>
      <c r="J728" s="388"/>
      <c r="K728" s="388"/>
      <c r="L728" s="388"/>
      <c r="M728" s="388"/>
      <c r="N728" s="388"/>
      <c r="O728" s="388"/>
      <c r="P728" s="388"/>
      <c r="Q728" s="388"/>
      <c r="R728" s="388"/>
      <c r="S728" s="388"/>
      <c r="T728" s="388"/>
      <c r="U728" s="388"/>
      <c r="V728" s="388"/>
      <c r="AA728" s="256"/>
    </row>
    <row r="729">
      <c r="A729" s="388"/>
      <c r="B729" s="388"/>
      <c r="C729" s="388"/>
      <c r="D729" s="388"/>
      <c r="E729" s="388"/>
      <c r="F729" s="388"/>
      <c r="G729" s="388"/>
      <c r="H729" s="388"/>
      <c r="I729" s="388"/>
      <c r="J729" s="388"/>
      <c r="K729" s="388"/>
      <c r="L729" s="388"/>
      <c r="M729" s="388"/>
      <c r="N729" s="388"/>
      <c r="O729" s="388"/>
      <c r="P729" s="388"/>
      <c r="Q729" s="388"/>
      <c r="R729" s="388"/>
      <c r="S729" s="388"/>
      <c r="T729" s="388"/>
      <c r="U729" s="388"/>
      <c r="V729" s="388"/>
      <c r="AA729" s="256"/>
    </row>
    <row r="730">
      <c r="A730" s="388"/>
      <c r="B730" s="388"/>
      <c r="C730" s="388"/>
      <c r="D730" s="388"/>
      <c r="E730" s="388"/>
      <c r="F730" s="388"/>
      <c r="G730" s="388"/>
      <c r="H730" s="388"/>
      <c r="I730" s="388"/>
      <c r="J730" s="388"/>
      <c r="K730" s="388"/>
      <c r="L730" s="388"/>
      <c r="M730" s="388"/>
      <c r="N730" s="388"/>
      <c r="O730" s="388"/>
      <c r="P730" s="388"/>
      <c r="Q730" s="388"/>
      <c r="R730" s="388"/>
      <c r="S730" s="388"/>
      <c r="T730" s="388"/>
      <c r="U730" s="388"/>
      <c r="V730" s="388"/>
      <c r="AA730" s="256"/>
    </row>
    <row r="731">
      <c r="A731" s="388"/>
      <c r="B731" s="388"/>
      <c r="C731" s="388"/>
      <c r="D731" s="388"/>
      <c r="E731" s="388"/>
      <c r="F731" s="388"/>
      <c r="G731" s="388"/>
      <c r="H731" s="388"/>
      <c r="I731" s="388"/>
      <c r="J731" s="388"/>
      <c r="K731" s="388"/>
      <c r="L731" s="388"/>
      <c r="M731" s="388"/>
      <c r="N731" s="388"/>
      <c r="O731" s="388"/>
      <c r="P731" s="388"/>
      <c r="Q731" s="388"/>
      <c r="R731" s="388"/>
      <c r="S731" s="388"/>
      <c r="T731" s="388"/>
      <c r="U731" s="388"/>
      <c r="V731" s="388"/>
      <c r="AA731" s="256"/>
    </row>
    <row r="732">
      <c r="A732" s="388"/>
      <c r="B732" s="388"/>
      <c r="C732" s="388"/>
      <c r="D732" s="388"/>
      <c r="E732" s="388"/>
      <c r="F732" s="388"/>
      <c r="G732" s="388"/>
      <c r="H732" s="388"/>
      <c r="I732" s="388"/>
      <c r="J732" s="388"/>
      <c r="K732" s="388"/>
      <c r="L732" s="388"/>
      <c r="M732" s="388"/>
      <c r="N732" s="388"/>
      <c r="O732" s="388"/>
      <c r="P732" s="388"/>
      <c r="Q732" s="388"/>
      <c r="R732" s="388"/>
      <c r="S732" s="388"/>
      <c r="T732" s="388"/>
      <c r="U732" s="388"/>
      <c r="V732" s="388"/>
      <c r="AA732" s="256"/>
    </row>
    <row r="733">
      <c r="A733" s="388"/>
      <c r="B733" s="388"/>
      <c r="C733" s="388"/>
      <c r="D733" s="388"/>
      <c r="E733" s="388"/>
      <c r="F733" s="388"/>
      <c r="G733" s="388"/>
      <c r="H733" s="388"/>
      <c r="I733" s="388"/>
      <c r="J733" s="388"/>
      <c r="K733" s="388"/>
      <c r="L733" s="388"/>
      <c r="M733" s="388"/>
      <c r="N733" s="388"/>
      <c r="O733" s="388"/>
      <c r="P733" s="388"/>
      <c r="Q733" s="388"/>
      <c r="R733" s="388"/>
      <c r="S733" s="388"/>
      <c r="T733" s="388"/>
      <c r="U733" s="388"/>
      <c r="V733" s="388"/>
      <c r="AA733" s="256"/>
    </row>
    <row r="734">
      <c r="A734" s="388"/>
      <c r="B734" s="388"/>
      <c r="C734" s="388"/>
      <c r="D734" s="388"/>
      <c r="E734" s="388"/>
      <c r="F734" s="388"/>
      <c r="G734" s="388"/>
      <c r="H734" s="388"/>
      <c r="I734" s="388"/>
      <c r="J734" s="388"/>
      <c r="K734" s="388"/>
      <c r="L734" s="388"/>
      <c r="M734" s="388"/>
      <c r="N734" s="388"/>
      <c r="O734" s="388"/>
      <c r="P734" s="388"/>
      <c r="Q734" s="388"/>
      <c r="R734" s="388"/>
      <c r="S734" s="388"/>
      <c r="T734" s="388"/>
      <c r="U734" s="388"/>
      <c r="V734" s="388"/>
      <c r="AA734" s="256"/>
    </row>
    <row r="735">
      <c r="A735" s="388"/>
      <c r="B735" s="388"/>
      <c r="C735" s="388"/>
      <c r="D735" s="388"/>
      <c r="E735" s="388"/>
      <c r="F735" s="388"/>
      <c r="G735" s="388"/>
      <c r="H735" s="388"/>
      <c r="I735" s="388"/>
      <c r="J735" s="388"/>
      <c r="K735" s="388"/>
      <c r="L735" s="388"/>
      <c r="M735" s="388"/>
      <c r="N735" s="388"/>
      <c r="O735" s="388"/>
      <c r="P735" s="388"/>
      <c r="Q735" s="388"/>
      <c r="R735" s="388"/>
      <c r="S735" s="388"/>
      <c r="T735" s="388"/>
      <c r="U735" s="388"/>
      <c r="V735" s="388"/>
      <c r="AA735" s="256"/>
    </row>
    <row r="736">
      <c r="A736" s="388"/>
      <c r="B736" s="388"/>
      <c r="C736" s="388"/>
      <c r="D736" s="388"/>
      <c r="E736" s="388"/>
      <c r="F736" s="388"/>
      <c r="G736" s="388"/>
      <c r="H736" s="388"/>
      <c r="I736" s="388"/>
      <c r="J736" s="388"/>
      <c r="K736" s="388"/>
      <c r="L736" s="388"/>
      <c r="M736" s="388"/>
      <c r="N736" s="388"/>
      <c r="O736" s="388"/>
      <c r="P736" s="388"/>
      <c r="Q736" s="388"/>
      <c r="R736" s="388"/>
      <c r="S736" s="388"/>
      <c r="T736" s="388"/>
      <c r="U736" s="388"/>
      <c r="V736" s="388"/>
      <c r="AA736" s="256"/>
    </row>
    <row r="737">
      <c r="A737" s="388"/>
      <c r="B737" s="388"/>
      <c r="C737" s="388"/>
      <c r="D737" s="388"/>
      <c r="E737" s="388"/>
      <c r="F737" s="388"/>
      <c r="G737" s="388"/>
      <c r="H737" s="388"/>
      <c r="I737" s="388"/>
      <c r="J737" s="388"/>
      <c r="K737" s="388"/>
      <c r="L737" s="388"/>
      <c r="M737" s="388"/>
      <c r="N737" s="388"/>
      <c r="O737" s="388"/>
      <c r="P737" s="388"/>
      <c r="Q737" s="388"/>
      <c r="R737" s="388"/>
      <c r="S737" s="388"/>
      <c r="T737" s="388"/>
      <c r="U737" s="388"/>
      <c r="V737" s="388"/>
      <c r="AA737" s="256"/>
    </row>
    <row r="738">
      <c r="A738" s="388"/>
      <c r="B738" s="388"/>
      <c r="C738" s="388"/>
      <c r="D738" s="388"/>
      <c r="E738" s="388"/>
      <c r="F738" s="388"/>
      <c r="G738" s="388"/>
      <c r="H738" s="388"/>
      <c r="I738" s="388"/>
      <c r="J738" s="388"/>
      <c r="K738" s="388"/>
      <c r="L738" s="388"/>
      <c r="M738" s="388"/>
      <c r="N738" s="388"/>
      <c r="O738" s="388"/>
      <c r="P738" s="388"/>
      <c r="Q738" s="388"/>
      <c r="R738" s="388"/>
      <c r="S738" s="388"/>
      <c r="T738" s="388"/>
      <c r="U738" s="388"/>
      <c r="V738" s="388"/>
      <c r="AA738" s="256"/>
    </row>
    <row r="739">
      <c r="A739" s="388"/>
      <c r="B739" s="388"/>
      <c r="C739" s="388"/>
      <c r="D739" s="388"/>
      <c r="E739" s="388"/>
      <c r="F739" s="388"/>
      <c r="G739" s="388"/>
      <c r="H739" s="388"/>
      <c r="I739" s="388"/>
      <c r="J739" s="388"/>
      <c r="K739" s="388"/>
      <c r="L739" s="388"/>
      <c r="M739" s="388"/>
      <c r="N739" s="388"/>
      <c r="O739" s="388"/>
      <c r="P739" s="388"/>
      <c r="Q739" s="388"/>
      <c r="R739" s="388"/>
      <c r="S739" s="388"/>
      <c r="T739" s="388"/>
      <c r="U739" s="388"/>
      <c r="V739" s="388"/>
      <c r="AA739" s="256"/>
    </row>
    <row r="740">
      <c r="A740" s="388"/>
      <c r="B740" s="388"/>
      <c r="C740" s="388"/>
      <c r="D740" s="388"/>
      <c r="E740" s="388"/>
      <c r="F740" s="388"/>
      <c r="G740" s="388"/>
      <c r="H740" s="388"/>
      <c r="I740" s="388"/>
      <c r="J740" s="388"/>
      <c r="K740" s="388"/>
      <c r="L740" s="388"/>
      <c r="M740" s="388"/>
      <c r="N740" s="388"/>
      <c r="O740" s="388"/>
      <c r="P740" s="388"/>
      <c r="Q740" s="388"/>
      <c r="R740" s="388"/>
      <c r="S740" s="388"/>
      <c r="T740" s="388"/>
      <c r="U740" s="388"/>
      <c r="V740" s="388"/>
      <c r="AA740" s="256"/>
    </row>
    <row r="741">
      <c r="A741" s="388"/>
      <c r="B741" s="388"/>
      <c r="C741" s="388"/>
      <c r="D741" s="388"/>
      <c r="E741" s="388"/>
      <c r="F741" s="388"/>
      <c r="G741" s="388"/>
      <c r="H741" s="388"/>
      <c r="I741" s="388"/>
      <c r="J741" s="388"/>
      <c r="K741" s="388"/>
      <c r="L741" s="388"/>
      <c r="M741" s="388"/>
      <c r="N741" s="388"/>
      <c r="O741" s="388"/>
      <c r="P741" s="388"/>
      <c r="Q741" s="388"/>
      <c r="R741" s="388"/>
      <c r="S741" s="388"/>
      <c r="T741" s="388"/>
      <c r="U741" s="388"/>
      <c r="V741" s="388"/>
      <c r="AA741" s="256"/>
    </row>
    <row r="742">
      <c r="A742" s="388"/>
      <c r="B742" s="388"/>
      <c r="C742" s="388"/>
      <c r="D742" s="388"/>
      <c r="E742" s="388"/>
      <c r="F742" s="388"/>
      <c r="G742" s="388"/>
      <c r="H742" s="388"/>
      <c r="I742" s="388"/>
      <c r="J742" s="388"/>
      <c r="K742" s="388"/>
      <c r="L742" s="388"/>
      <c r="M742" s="388"/>
      <c r="N742" s="388"/>
      <c r="O742" s="388"/>
      <c r="P742" s="388"/>
      <c r="Q742" s="388"/>
      <c r="R742" s="388"/>
      <c r="S742" s="388"/>
      <c r="T742" s="388"/>
      <c r="U742" s="388"/>
      <c r="V742" s="388"/>
      <c r="AA742" s="256"/>
    </row>
    <row r="743">
      <c r="A743" s="388"/>
      <c r="B743" s="388"/>
      <c r="C743" s="388"/>
      <c r="D743" s="388"/>
      <c r="E743" s="388"/>
      <c r="F743" s="388"/>
      <c r="G743" s="388"/>
      <c r="H743" s="388"/>
      <c r="I743" s="388"/>
      <c r="J743" s="388"/>
      <c r="K743" s="388"/>
      <c r="L743" s="388"/>
      <c r="M743" s="388"/>
      <c r="N743" s="388"/>
      <c r="O743" s="388"/>
      <c r="P743" s="388"/>
      <c r="Q743" s="388"/>
      <c r="R743" s="388"/>
      <c r="S743" s="388"/>
      <c r="T743" s="388"/>
      <c r="U743" s="388"/>
      <c r="V743" s="388"/>
      <c r="AA743" s="256"/>
    </row>
    <row r="744">
      <c r="A744" s="388"/>
      <c r="B744" s="388"/>
      <c r="C744" s="388"/>
      <c r="D744" s="388"/>
      <c r="E744" s="388"/>
      <c r="F744" s="388"/>
      <c r="G744" s="388"/>
      <c r="H744" s="388"/>
      <c r="I744" s="388"/>
      <c r="J744" s="388"/>
      <c r="K744" s="388"/>
      <c r="L744" s="388"/>
      <c r="M744" s="388"/>
      <c r="N744" s="388"/>
      <c r="O744" s="388"/>
      <c r="P744" s="388"/>
      <c r="Q744" s="388"/>
      <c r="R744" s="388"/>
      <c r="S744" s="388"/>
      <c r="T744" s="388"/>
      <c r="U744" s="388"/>
      <c r="V744" s="388"/>
      <c r="AA744" s="256"/>
    </row>
    <row r="745">
      <c r="A745" s="388"/>
      <c r="B745" s="388"/>
      <c r="C745" s="388"/>
      <c r="D745" s="388"/>
      <c r="E745" s="388"/>
      <c r="F745" s="388"/>
      <c r="G745" s="388"/>
      <c r="H745" s="388"/>
      <c r="I745" s="388"/>
      <c r="J745" s="388"/>
      <c r="K745" s="388"/>
      <c r="L745" s="388"/>
      <c r="M745" s="388"/>
      <c r="N745" s="388"/>
      <c r="O745" s="388"/>
      <c r="P745" s="388"/>
      <c r="Q745" s="388"/>
      <c r="R745" s="388"/>
      <c r="S745" s="388"/>
      <c r="T745" s="388"/>
      <c r="U745" s="388"/>
      <c r="V745" s="388"/>
      <c r="AA745" s="256"/>
    </row>
    <row r="746">
      <c r="A746" s="388"/>
      <c r="B746" s="388"/>
      <c r="C746" s="388"/>
      <c r="D746" s="388"/>
      <c r="E746" s="388"/>
      <c r="F746" s="388"/>
      <c r="G746" s="388"/>
      <c r="H746" s="388"/>
      <c r="I746" s="388"/>
      <c r="J746" s="388"/>
      <c r="K746" s="388"/>
      <c r="L746" s="388"/>
      <c r="M746" s="388"/>
      <c r="N746" s="388"/>
      <c r="O746" s="388"/>
      <c r="P746" s="388"/>
      <c r="Q746" s="388"/>
      <c r="R746" s="388"/>
      <c r="S746" s="388"/>
      <c r="T746" s="388"/>
      <c r="U746" s="388"/>
      <c r="V746" s="388"/>
      <c r="AA746" s="256"/>
    </row>
    <row r="747">
      <c r="A747" s="388"/>
      <c r="B747" s="388"/>
      <c r="C747" s="388"/>
      <c r="D747" s="388"/>
      <c r="E747" s="388"/>
      <c r="F747" s="388"/>
      <c r="G747" s="388"/>
      <c r="H747" s="388"/>
      <c r="I747" s="388"/>
      <c r="J747" s="388"/>
      <c r="K747" s="388"/>
      <c r="L747" s="388"/>
      <c r="M747" s="388"/>
      <c r="N747" s="388"/>
      <c r="O747" s="388"/>
      <c r="P747" s="388"/>
      <c r="Q747" s="388"/>
      <c r="R747" s="388"/>
      <c r="S747" s="388"/>
      <c r="T747" s="388"/>
      <c r="U747" s="388"/>
      <c r="V747" s="388"/>
      <c r="AA747" s="256"/>
    </row>
    <row r="748">
      <c r="A748" s="388"/>
      <c r="B748" s="388"/>
      <c r="C748" s="388"/>
      <c r="D748" s="388"/>
      <c r="E748" s="388"/>
      <c r="F748" s="388"/>
      <c r="G748" s="388"/>
      <c r="H748" s="388"/>
      <c r="I748" s="388"/>
      <c r="J748" s="388"/>
      <c r="K748" s="388"/>
      <c r="L748" s="388"/>
      <c r="M748" s="388"/>
      <c r="N748" s="388"/>
      <c r="O748" s="388"/>
      <c r="P748" s="388"/>
      <c r="Q748" s="388"/>
      <c r="R748" s="388"/>
      <c r="S748" s="388"/>
      <c r="T748" s="388"/>
      <c r="U748" s="388"/>
      <c r="V748" s="388"/>
      <c r="AA748" s="256"/>
    </row>
    <row r="749">
      <c r="A749" s="388"/>
      <c r="B749" s="388"/>
      <c r="C749" s="388"/>
      <c r="D749" s="388"/>
      <c r="E749" s="388"/>
      <c r="F749" s="388"/>
      <c r="G749" s="388"/>
      <c r="H749" s="388"/>
      <c r="I749" s="388"/>
      <c r="J749" s="388"/>
      <c r="K749" s="388"/>
      <c r="L749" s="388"/>
      <c r="M749" s="388"/>
      <c r="N749" s="388"/>
      <c r="O749" s="388"/>
      <c r="P749" s="388"/>
      <c r="Q749" s="388"/>
      <c r="R749" s="388"/>
      <c r="S749" s="388"/>
      <c r="T749" s="388"/>
      <c r="U749" s="388"/>
      <c r="V749" s="388"/>
      <c r="AA749" s="256"/>
    </row>
    <row r="750">
      <c r="A750" s="388"/>
      <c r="B750" s="388"/>
      <c r="C750" s="388"/>
      <c r="D750" s="388"/>
      <c r="E750" s="388"/>
      <c r="F750" s="388"/>
      <c r="G750" s="388"/>
      <c r="H750" s="388"/>
      <c r="I750" s="388"/>
      <c r="J750" s="388"/>
      <c r="K750" s="388"/>
      <c r="L750" s="388"/>
      <c r="M750" s="388"/>
      <c r="N750" s="388"/>
      <c r="O750" s="388"/>
      <c r="P750" s="388"/>
      <c r="Q750" s="388"/>
      <c r="R750" s="388"/>
      <c r="S750" s="388"/>
      <c r="T750" s="388"/>
      <c r="U750" s="388"/>
      <c r="V750" s="388"/>
      <c r="AA750" s="256"/>
    </row>
    <row r="751">
      <c r="A751" s="388"/>
      <c r="B751" s="388"/>
      <c r="C751" s="388"/>
      <c r="D751" s="388"/>
      <c r="E751" s="388"/>
      <c r="F751" s="388"/>
      <c r="G751" s="388"/>
      <c r="H751" s="388"/>
      <c r="I751" s="388"/>
      <c r="J751" s="388"/>
      <c r="K751" s="388"/>
      <c r="L751" s="388"/>
      <c r="M751" s="388"/>
      <c r="N751" s="388"/>
      <c r="O751" s="388"/>
      <c r="P751" s="388"/>
      <c r="Q751" s="388"/>
      <c r="R751" s="388"/>
      <c r="S751" s="388"/>
      <c r="T751" s="388"/>
      <c r="U751" s="388"/>
      <c r="V751" s="388"/>
      <c r="AA751" s="256"/>
    </row>
    <row r="752">
      <c r="A752" s="388"/>
      <c r="B752" s="388"/>
      <c r="C752" s="388"/>
      <c r="D752" s="388"/>
      <c r="E752" s="388"/>
      <c r="F752" s="388"/>
      <c r="G752" s="388"/>
      <c r="H752" s="388"/>
      <c r="I752" s="388"/>
      <c r="J752" s="388"/>
      <c r="K752" s="388"/>
      <c r="L752" s="388"/>
      <c r="M752" s="388"/>
      <c r="N752" s="388"/>
      <c r="O752" s="388"/>
      <c r="P752" s="388"/>
      <c r="Q752" s="388"/>
      <c r="R752" s="388"/>
      <c r="S752" s="388"/>
      <c r="T752" s="388"/>
      <c r="U752" s="388"/>
      <c r="V752" s="388"/>
      <c r="AA752" s="256"/>
    </row>
    <row r="753">
      <c r="A753" s="388"/>
      <c r="B753" s="388"/>
      <c r="C753" s="388"/>
      <c r="D753" s="388"/>
      <c r="E753" s="388"/>
      <c r="F753" s="388"/>
      <c r="G753" s="388"/>
      <c r="H753" s="388"/>
      <c r="I753" s="388"/>
      <c r="J753" s="388"/>
      <c r="K753" s="388"/>
      <c r="L753" s="388"/>
      <c r="M753" s="388"/>
      <c r="N753" s="388"/>
      <c r="O753" s="388"/>
      <c r="P753" s="388"/>
      <c r="Q753" s="388"/>
      <c r="R753" s="388"/>
      <c r="S753" s="388"/>
      <c r="T753" s="388"/>
      <c r="U753" s="388"/>
      <c r="V753" s="388"/>
      <c r="AA753" s="256"/>
    </row>
    <row r="754">
      <c r="A754" s="388"/>
      <c r="B754" s="388"/>
      <c r="C754" s="388"/>
      <c r="D754" s="388"/>
      <c r="E754" s="388"/>
      <c r="F754" s="388"/>
      <c r="G754" s="388"/>
      <c r="H754" s="388"/>
      <c r="I754" s="388"/>
      <c r="J754" s="388"/>
      <c r="K754" s="388"/>
      <c r="L754" s="388"/>
      <c r="M754" s="388"/>
      <c r="N754" s="388"/>
      <c r="O754" s="388"/>
      <c r="P754" s="388"/>
      <c r="Q754" s="388"/>
      <c r="R754" s="388"/>
      <c r="S754" s="388"/>
      <c r="T754" s="388"/>
      <c r="U754" s="388"/>
      <c r="V754" s="388"/>
      <c r="AA754" s="256"/>
    </row>
    <row r="755">
      <c r="A755" s="388"/>
      <c r="B755" s="388"/>
      <c r="C755" s="388"/>
      <c r="D755" s="388"/>
      <c r="E755" s="388"/>
      <c r="F755" s="388"/>
      <c r="G755" s="388"/>
      <c r="H755" s="388"/>
      <c r="I755" s="388"/>
      <c r="J755" s="388"/>
      <c r="K755" s="388"/>
      <c r="L755" s="388"/>
      <c r="M755" s="388"/>
      <c r="N755" s="388"/>
      <c r="O755" s="388"/>
      <c r="P755" s="388"/>
      <c r="Q755" s="388"/>
      <c r="R755" s="388"/>
      <c r="S755" s="388"/>
      <c r="T755" s="388"/>
      <c r="U755" s="388"/>
      <c r="V755" s="388"/>
      <c r="AA755" s="256"/>
    </row>
    <row r="756">
      <c r="A756" s="388"/>
      <c r="B756" s="388"/>
      <c r="C756" s="388"/>
      <c r="D756" s="388"/>
      <c r="E756" s="388"/>
      <c r="F756" s="388"/>
      <c r="G756" s="388"/>
      <c r="H756" s="388"/>
      <c r="I756" s="388"/>
      <c r="J756" s="388"/>
      <c r="K756" s="388"/>
      <c r="L756" s="388"/>
      <c r="M756" s="388"/>
      <c r="N756" s="388"/>
      <c r="O756" s="388"/>
      <c r="P756" s="388"/>
      <c r="Q756" s="388"/>
      <c r="R756" s="388"/>
      <c r="S756" s="388"/>
      <c r="T756" s="388"/>
      <c r="U756" s="388"/>
      <c r="V756" s="388"/>
      <c r="AA756" s="256"/>
    </row>
    <row r="757">
      <c r="A757" s="388"/>
      <c r="B757" s="388"/>
      <c r="C757" s="388"/>
      <c r="D757" s="388"/>
      <c r="E757" s="388"/>
      <c r="F757" s="388"/>
      <c r="G757" s="388"/>
      <c r="H757" s="388"/>
      <c r="I757" s="388"/>
      <c r="J757" s="388"/>
      <c r="K757" s="388"/>
      <c r="L757" s="388"/>
      <c r="M757" s="388"/>
      <c r="N757" s="388"/>
      <c r="O757" s="388"/>
      <c r="P757" s="388"/>
      <c r="Q757" s="388"/>
      <c r="R757" s="388"/>
      <c r="S757" s="388"/>
      <c r="T757" s="388"/>
      <c r="U757" s="388"/>
      <c r="V757" s="388"/>
      <c r="AA757" s="256"/>
    </row>
    <row r="758">
      <c r="A758" s="388"/>
      <c r="B758" s="388"/>
      <c r="C758" s="388"/>
      <c r="D758" s="388"/>
      <c r="E758" s="388"/>
      <c r="F758" s="388"/>
      <c r="G758" s="388"/>
      <c r="H758" s="388"/>
      <c r="I758" s="388"/>
      <c r="J758" s="388"/>
      <c r="K758" s="388"/>
      <c r="L758" s="388"/>
      <c r="M758" s="388"/>
      <c r="N758" s="388"/>
      <c r="O758" s="388"/>
      <c r="P758" s="388"/>
      <c r="Q758" s="388"/>
      <c r="R758" s="388"/>
      <c r="S758" s="388"/>
      <c r="T758" s="388"/>
      <c r="U758" s="388"/>
      <c r="V758" s="388"/>
      <c r="AA758" s="256"/>
    </row>
    <row r="759">
      <c r="A759" s="388"/>
      <c r="B759" s="388"/>
      <c r="C759" s="388"/>
      <c r="D759" s="388"/>
      <c r="E759" s="388"/>
      <c r="F759" s="388"/>
      <c r="G759" s="388"/>
      <c r="H759" s="388"/>
      <c r="I759" s="388"/>
      <c r="J759" s="388"/>
      <c r="K759" s="388"/>
      <c r="L759" s="388"/>
      <c r="M759" s="388"/>
      <c r="N759" s="388"/>
      <c r="O759" s="388"/>
      <c r="P759" s="388"/>
      <c r="Q759" s="388"/>
      <c r="R759" s="388"/>
      <c r="S759" s="388"/>
      <c r="T759" s="388"/>
      <c r="U759" s="388"/>
      <c r="V759" s="388"/>
      <c r="AA759" s="256"/>
    </row>
    <row r="760">
      <c r="A760" s="388"/>
      <c r="B760" s="388"/>
      <c r="C760" s="388"/>
      <c r="D760" s="388"/>
      <c r="E760" s="388"/>
      <c r="F760" s="388"/>
      <c r="G760" s="388"/>
      <c r="H760" s="388"/>
      <c r="I760" s="388"/>
      <c r="J760" s="388"/>
      <c r="K760" s="388"/>
      <c r="L760" s="388"/>
      <c r="M760" s="388"/>
      <c r="N760" s="388"/>
      <c r="O760" s="388"/>
      <c r="P760" s="388"/>
      <c r="Q760" s="388"/>
      <c r="R760" s="388"/>
      <c r="S760" s="388"/>
      <c r="T760" s="388"/>
      <c r="U760" s="388"/>
      <c r="V760" s="388"/>
      <c r="AA760" s="256"/>
    </row>
    <row r="761">
      <c r="A761" s="388"/>
      <c r="B761" s="388"/>
      <c r="C761" s="388"/>
      <c r="D761" s="388"/>
      <c r="E761" s="388"/>
      <c r="F761" s="388"/>
      <c r="G761" s="388"/>
      <c r="H761" s="388"/>
      <c r="I761" s="388"/>
      <c r="J761" s="388"/>
      <c r="K761" s="388"/>
      <c r="L761" s="388"/>
      <c r="M761" s="388"/>
      <c r="N761" s="388"/>
      <c r="O761" s="388"/>
      <c r="P761" s="388"/>
      <c r="Q761" s="388"/>
      <c r="R761" s="388"/>
      <c r="S761" s="388"/>
      <c r="T761" s="388"/>
      <c r="U761" s="388"/>
      <c r="V761" s="388"/>
      <c r="AA761" s="256"/>
    </row>
    <row r="762">
      <c r="A762" s="388"/>
      <c r="B762" s="388"/>
      <c r="C762" s="388"/>
      <c r="D762" s="388"/>
      <c r="E762" s="388"/>
      <c r="F762" s="388"/>
      <c r="G762" s="388"/>
      <c r="H762" s="388"/>
      <c r="I762" s="388"/>
      <c r="J762" s="388"/>
      <c r="K762" s="388"/>
      <c r="L762" s="388"/>
      <c r="M762" s="388"/>
      <c r="N762" s="388"/>
      <c r="O762" s="388"/>
      <c r="P762" s="388"/>
      <c r="Q762" s="388"/>
      <c r="R762" s="388"/>
      <c r="S762" s="388"/>
      <c r="T762" s="388"/>
      <c r="U762" s="388"/>
      <c r="V762" s="388"/>
      <c r="AA762" s="256"/>
    </row>
    <row r="763">
      <c r="A763" s="388"/>
      <c r="B763" s="388"/>
      <c r="C763" s="388"/>
      <c r="D763" s="388"/>
      <c r="E763" s="388"/>
      <c r="F763" s="388"/>
      <c r="G763" s="388"/>
      <c r="H763" s="388"/>
      <c r="I763" s="388"/>
      <c r="J763" s="388"/>
      <c r="K763" s="388"/>
      <c r="L763" s="388"/>
      <c r="M763" s="388"/>
      <c r="N763" s="388"/>
      <c r="O763" s="388"/>
      <c r="P763" s="388"/>
      <c r="Q763" s="388"/>
      <c r="R763" s="388"/>
      <c r="S763" s="388"/>
      <c r="T763" s="388"/>
      <c r="U763" s="388"/>
      <c r="V763" s="388"/>
      <c r="AA763" s="256"/>
    </row>
    <row r="764">
      <c r="A764" s="388"/>
      <c r="B764" s="388"/>
      <c r="C764" s="388"/>
      <c r="D764" s="388"/>
      <c r="E764" s="388"/>
      <c r="F764" s="388"/>
      <c r="G764" s="388"/>
      <c r="H764" s="388"/>
      <c r="I764" s="388"/>
      <c r="J764" s="388"/>
      <c r="K764" s="388"/>
      <c r="L764" s="388"/>
      <c r="M764" s="388"/>
      <c r="N764" s="388"/>
      <c r="O764" s="388"/>
      <c r="P764" s="388"/>
      <c r="Q764" s="388"/>
      <c r="R764" s="388"/>
      <c r="S764" s="388"/>
      <c r="T764" s="388"/>
      <c r="U764" s="388"/>
      <c r="V764" s="388"/>
      <c r="AA764" s="256"/>
    </row>
    <row r="765">
      <c r="A765" s="388"/>
      <c r="B765" s="388"/>
      <c r="C765" s="388"/>
      <c r="D765" s="388"/>
      <c r="E765" s="388"/>
      <c r="F765" s="388"/>
      <c r="G765" s="388"/>
      <c r="H765" s="388"/>
      <c r="I765" s="388"/>
      <c r="J765" s="388"/>
      <c r="K765" s="388"/>
      <c r="L765" s="388"/>
      <c r="M765" s="388"/>
      <c r="N765" s="388"/>
      <c r="O765" s="388"/>
      <c r="P765" s="388"/>
      <c r="Q765" s="388"/>
      <c r="R765" s="388"/>
      <c r="S765" s="388"/>
      <c r="T765" s="388"/>
      <c r="U765" s="388"/>
      <c r="V765" s="388"/>
      <c r="AA765" s="256"/>
    </row>
    <row r="766">
      <c r="A766" s="388"/>
      <c r="B766" s="388"/>
      <c r="C766" s="388"/>
      <c r="D766" s="388"/>
      <c r="E766" s="388"/>
      <c r="F766" s="388"/>
      <c r="G766" s="388"/>
      <c r="H766" s="388"/>
      <c r="I766" s="388"/>
      <c r="J766" s="388"/>
      <c r="K766" s="388"/>
      <c r="L766" s="388"/>
      <c r="M766" s="388"/>
      <c r="N766" s="388"/>
      <c r="O766" s="388"/>
      <c r="P766" s="388"/>
      <c r="Q766" s="388"/>
      <c r="R766" s="388"/>
      <c r="S766" s="388"/>
      <c r="T766" s="388"/>
      <c r="U766" s="388"/>
      <c r="V766" s="388"/>
      <c r="AA766" s="256"/>
    </row>
    <row r="767">
      <c r="A767" s="388"/>
      <c r="B767" s="388"/>
      <c r="C767" s="388"/>
      <c r="D767" s="388"/>
      <c r="E767" s="388"/>
      <c r="F767" s="388"/>
      <c r="G767" s="388"/>
      <c r="H767" s="388"/>
      <c r="I767" s="388"/>
      <c r="J767" s="388"/>
      <c r="K767" s="388"/>
      <c r="L767" s="388"/>
      <c r="M767" s="388"/>
      <c r="N767" s="388"/>
      <c r="O767" s="388"/>
      <c r="P767" s="388"/>
      <c r="Q767" s="388"/>
      <c r="R767" s="388"/>
      <c r="S767" s="388"/>
      <c r="T767" s="388"/>
      <c r="U767" s="388"/>
      <c r="V767" s="388"/>
      <c r="AA767" s="256"/>
    </row>
    <row r="768">
      <c r="A768" s="388"/>
      <c r="B768" s="388"/>
      <c r="C768" s="388"/>
      <c r="D768" s="388"/>
      <c r="E768" s="388"/>
      <c r="F768" s="388"/>
      <c r="G768" s="388"/>
      <c r="H768" s="388"/>
      <c r="I768" s="388"/>
      <c r="J768" s="388"/>
      <c r="K768" s="388"/>
      <c r="L768" s="388"/>
      <c r="M768" s="388"/>
      <c r="N768" s="388"/>
      <c r="O768" s="388"/>
      <c r="P768" s="388"/>
      <c r="Q768" s="388"/>
      <c r="R768" s="388"/>
      <c r="S768" s="388"/>
      <c r="T768" s="388"/>
      <c r="U768" s="388"/>
      <c r="V768" s="388"/>
      <c r="AA768" s="256"/>
    </row>
    <row r="769">
      <c r="A769" s="388"/>
      <c r="B769" s="388"/>
      <c r="C769" s="388"/>
      <c r="D769" s="388"/>
      <c r="E769" s="388"/>
      <c r="F769" s="388"/>
      <c r="G769" s="388"/>
      <c r="H769" s="388"/>
      <c r="I769" s="388"/>
      <c r="J769" s="388"/>
      <c r="K769" s="388"/>
      <c r="L769" s="388"/>
      <c r="M769" s="388"/>
      <c r="N769" s="388"/>
      <c r="O769" s="388"/>
      <c r="P769" s="388"/>
      <c r="Q769" s="388"/>
      <c r="R769" s="388"/>
      <c r="S769" s="388"/>
      <c r="T769" s="388"/>
      <c r="U769" s="388"/>
      <c r="V769" s="388"/>
      <c r="AA769" s="256"/>
    </row>
    <row r="770">
      <c r="A770" s="388"/>
      <c r="B770" s="388"/>
      <c r="C770" s="388"/>
      <c r="D770" s="388"/>
      <c r="E770" s="388"/>
      <c r="F770" s="388"/>
      <c r="G770" s="388"/>
      <c r="H770" s="388"/>
      <c r="I770" s="388"/>
      <c r="J770" s="388"/>
      <c r="K770" s="388"/>
      <c r="L770" s="388"/>
      <c r="M770" s="388"/>
      <c r="N770" s="388"/>
      <c r="O770" s="388"/>
      <c r="P770" s="388"/>
      <c r="Q770" s="388"/>
      <c r="R770" s="388"/>
      <c r="S770" s="388"/>
      <c r="T770" s="388"/>
      <c r="U770" s="388"/>
      <c r="V770" s="388"/>
      <c r="AA770" s="256"/>
    </row>
    <row r="771">
      <c r="A771" s="388"/>
      <c r="B771" s="388"/>
      <c r="C771" s="388"/>
      <c r="D771" s="388"/>
      <c r="E771" s="388"/>
      <c r="F771" s="388"/>
      <c r="G771" s="388"/>
      <c r="H771" s="388"/>
      <c r="I771" s="388"/>
      <c r="J771" s="388"/>
      <c r="K771" s="388"/>
      <c r="L771" s="388"/>
      <c r="M771" s="388"/>
      <c r="N771" s="388"/>
      <c r="O771" s="388"/>
      <c r="P771" s="388"/>
      <c r="Q771" s="388"/>
      <c r="R771" s="388"/>
      <c r="S771" s="388"/>
      <c r="T771" s="388"/>
      <c r="U771" s="388"/>
      <c r="V771" s="388"/>
      <c r="AA771" s="256"/>
    </row>
    <row r="772">
      <c r="A772" s="388"/>
      <c r="B772" s="388"/>
      <c r="C772" s="388"/>
      <c r="D772" s="388"/>
      <c r="E772" s="388"/>
      <c r="F772" s="388"/>
      <c r="G772" s="388"/>
      <c r="H772" s="388"/>
      <c r="I772" s="388"/>
      <c r="J772" s="388"/>
      <c r="K772" s="388"/>
      <c r="L772" s="388"/>
      <c r="M772" s="388"/>
      <c r="N772" s="388"/>
      <c r="O772" s="388"/>
      <c r="P772" s="388"/>
      <c r="Q772" s="388"/>
      <c r="R772" s="388"/>
      <c r="S772" s="388"/>
      <c r="T772" s="388"/>
      <c r="U772" s="388"/>
      <c r="V772" s="388"/>
      <c r="AA772" s="256"/>
    </row>
    <row r="773">
      <c r="A773" s="388"/>
      <c r="B773" s="388"/>
      <c r="C773" s="388"/>
      <c r="D773" s="388"/>
      <c r="E773" s="388"/>
      <c r="F773" s="388"/>
      <c r="G773" s="388"/>
      <c r="H773" s="388"/>
      <c r="I773" s="388"/>
      <c r="J773" s="388"/>
      <c r="K773" s="388"/>
      <c r="L773" s="388"/>
      <c r="M773" s="388"/>
      <c r="N773" s="388"/>
      <c r="O773" s="388"/>
      <c r="P773" s="388"/>
      <c r="Q773" s="388"/>
      <c r="R773" s="388"/>
      <c r="S773" s="388"/>
      <c r="T773" s="388"/>
      <c r="U773" s="388"/>
      <c r="V773" s="388"/>
      <c r="AA773" s="256"/>
    </row>
    <row r="774">
      <c r="A774" s="388"/>
      <c r="B774" s="388"/>
      <c r="C774" s="388"/>
      <c r="D774" s="388"/>
      <c r="E774" s="388"/>
      <c r="F774" s="388"/>
      <c r="G774" s="388"/>
      <c r="H774" s="388"/>
      <c r="I774" s="388"/>
      <c r="J774" s="388"/>
      <c r="K774" s="388"/>
      <c r="L774" s="388"/>
      <c r="M774" s="388"/>
      <c r="N774" s="388"/>
      <c r="O774" s="388"/>
      <c r="P774" s="388"/>
      <c r="Q774" s="388"/>
      <c r="R774" s="388"/>
      <c r="S774" s="388"/>
      <c r="T774" s="388"/>
      <c r="U774" s="388"/>
      <c r="V774" s="388"/>
      <c r="AA774" s="256"/>
    </row>
    <row r="775">
      <c r="A775" s="388"/>
      <c r="B775" s="388"/>
      <c r="C775" s="388"/>
      <c r="D775" s="388"/>
      <c r="E775" s="388"/>
      <c r="F775" s="388"/>
      <c r="G775" s="388"/>
      <c r="H775" s="388"/>
      <c r="I775" s="388"/>
      <c r="J775" s="388"/>
      <c r="K775" s="388"/>
      <c r="L775" s="388"/>
      <c r="M775" s="388"/>
      <c r="N775" s="388"/>
      <c r="O775" s="388"/>
      <c r="P775" s="388"/>
      <c r="Q775" s="388"/>
      <c r="R775" s="388"/>
      <c r="S775" s="388"/>
      <c r="T775" s="388"/>
      <c r="U775" s="388"/>
      <c r="V775" s="388"/>
      <c r="AA775" s="256"/>
    </row>
    <row r="776">
      <c r="A776" s="388"/>
      <c r="B776" s="388"/>
      <c r="C776" s="388"/>
      <c r="D776" s="388"/>
      <c r="E776" s="388"/>
      <c r="F776" s="388"/>
      <c r="G776" s="388"/>
      <c r="H776" s="388"/>
      <c r="I776" s="388"/>
      <c r="J776" s="388"/>
      <c r="K776" s="388"/>
      <c r="L776" s="388"/>
      <c r="M776" s="388"/>
      <c r="N776" s="388"/>
      <c r="O776" s="388"/>
      <c r="P776" s="388"/>
      <c r="Q776" s="388"/>
      <c r="R776" s="388"/>
      <c r="S776" s="388"/>
      <c r="T776" s="388"/>
      <c r="U776" s="388"/>
      <c r="V776" s="388"/>
      <c r="AA776" s="256"/>
    </row>
    <row r="777">
      <c r="A777" s="388"/>
      <c r="B777" s="388"/>
      <c r="C777" s="388"/>
      <c r="D777" s="388"/>
      <c r="E777" s="388"/>
      <c r="F777" s="388"/>
      <c r="G777" s="388"/>
      <c r="H777" s="388"/>
      <c r="I777" s="388"/>
      <c r="J777" s="388"/>
      <c r="K777" s="388"/>
      <c r="L777" s="388"/>
      <c r="M777" s="388"/>
      <c r="N777" s="388"/>
      <c r="O777" s="388"/>
      <c r="P777" s="388"/>
      <c r="Q777" s="388"/>
      <c r="R777" s="388"/>
      <c r="S777" s="388"/>
      <c r="T777" s="388"/>
      <c r="U777" s="388"/>
      <c r="V777" s="388"/>
      <c r="AA777" s="256"/>
    </row>
    <row r="778">
      <c r="A778" s="388"/>
      <c r="B778" s="388"/>
      <c r="C778" s="388"/>
      <c r="D778" s="388"/>
      <c r="E778" s="388"/>
      <c r="F778" s="388"/>
      <c r="G778" s="388"/>
      <c r="H778" s="388"/>
      <c r="I778" s="388"/>
      <c r="J778" s="388"/>
      <c r="K778" s="388"/>
      <c r="L778" s="388"/>
      <c r="M778" s="388"/>
      <c r="N778" s="388"/>
      <c r="O778" s="388"/>
      <c r="P778" s="388"/>
      <c r="Q778" s="388"/>
      <c r="R778" s="388"/>
      <c r="S778" s="388"/>
      <c r="T778" s="388"/>
      <c r="U778" s="388"/>
      <c r="V778" s="388"/>
      <c r="AA778" s="256"/>
    </row>
    <row r="779">
      <c r="A779" s="388"/>
      <c r="B779" s="388"/>
      <c r="C779" s="388"/>
      <c r="D779" s="388"/>
      <c r="E779" s="388"/>
      <c r="F779" s="388"/>
      <c r="G779" s="388"/>
      <c r="H779" s="388"/>
      <c r="I779" s="388"/>
      <c r="J779" s="388"/>
      <c r="K779" s="388"/>
      <c r="L779" s="388"/>
      <c r="M779" s="388"/>
      <c r="N779" s="388"/>
      <c r="O779" s="388"/>
      <c r="P779" s="388"/>
      <c r="Q779" s="388"/>
      <c r="R779" s="388"/>
      <c r="S779" s="388"/>
      <c r="T779" s="388"/>
      <c r="U779" s="388"/>
      <c r="V779" s="388"/>
      <c r="AA779" s="256"/>
    </row>
    <row r="780">
      <c r="A780" s="388"/>
      <c r="B780" s="388"/>
      <c r="C780" s="388"/>
      <c r="D780" s="388"/>
      <c r="E780" s="388"/>
      <c r="F780" s="388"/>
      <c r="G780" s="388"/>
      <c r="H780" s="388"/>
      <c r="I780" s="388"/>
      <c r="J780" s="388"/>
      <c r="K780" s="388"/>
      <c r="L780" s="388"/>
      <c r="M780" s="388"/>
      <c r="N780" s="388"/>
      <c r="O780" s="388"/>
      <c r="P780" s="388"/>
      <c r="Q780" s="388"/>
      <c r="R780" s="388"/>
      <c r="S780" s="388"/>
      <c r="T780" s="388"/>
      <c r="U780" s="388"/>
      <c r="V780" s="388"/>
      <c r="AA780" s="256"/>
    </row>
    <row r="781">
      <c r="A781" s="388"/>
      <c r="B781" s="388"/>
      <c r="C781" s="388"/>
      <c r="D781" s="388"/>
      <c r="E781" s="388"/>
      <c r="F781" s="388"/>
      <c r="G781" s="388"/>
      <c r="H781" s="388"/>
      <c r="I781" s="388"/>
      <c r="J781" s="388"/>
      <c r="K781" s="388"/>
      <c r="L781" s="388"/>
      <c r="M781" s="388"/>
      <c r="N781" s="388"/>
      <c r="O781" s="388"/>
      <c r="P781" s="388"/>
      <c r="Q781" s="388"/>
      <c r="R781" s="388"/>
      <c r="S781" s="388"/>
      <c r="T781" s="388"/>
      <c r="U781" s="388"/>
      <c r="V781" s="388"/>
      <c r="AA781" s="256"/>
    </row>
    <row r="782">
      <c r="A782" s="388"/>
      <c r="B782" s="388"/>
      <c r="C782" s="388"/>
      <c r="D782" s="388"/>
      <c r="E782" s="388"/>
      <c r="F782" s="388"/>
      <c r="G782" s="388"/>
      <c r="H782" s="388"/>
      <c r="I782" s="388"/>
      <c r="J782" s="388"/>
      <c r="K782" s="388"/>
      <c r="L782" s="388"/>
      <c r="M782" s="388"/>
      <c r="N782" s="388"/>
      <c r="O782" s="388"/>
      <c r="P782" s="388"/>
      <c r="Q782" s="388"/>
      <c r="R782" s="388"/>
      <c r="S782" s="388"/>
      <c r="T782" s="388"/>
      <c r="U782" s="388"/>
      <c r="V782" s="388"/>
      <c r="AA782" s="256"/>
    </row>
    <row r="783">
      <c r="A783" s="388"/>
      <c r="B783" s="388"/>
      <c r="C783" s="388"/>
      <c r="D783" s="388"/>
      <c r="E783" s="388"/>
      <c r="F783" s="388"/>
      <c r="G783" s="388"/>
      <c r="H783" s="388"/>
      <c r="I783" s="388"/>
      <c r="J783" s="388"/>
      <c r="K783" s="388"/>
      <c r="L783" s="388"/>
      <c r="M783" s="388"/>
      <c r="N783" s="388"/>
      <c r="O783" s="388"/>
      <c r="P783" s="388"/>
      <c r="Q783" s="388"/>
      <c r="R783" s="388"/>
      <c r="S783" s="388"/>
      <c r="T783" s="388"/>
      <c r="U783" s="388"/>
      <c r="V783" s="388"/>
      <c r="AA783" s="256"/>
    </row>
    <row r="784">
      <c r="A784" s="388"/>
      <c r="B784" s="388"/>
      <c r="C784" s="388"/>
      <c r="D784" s="388"/>
      <c r="E784" s="388"/>
      <c r="F784" s="388"/>
      <c r="G784" s="388"/>
      <c r="H784" s="388"/>
      <c r="I784" s="388"/>
      <c r="J784" s="388"/>
      <c r="K784" s="388"/>
      <c r="L784" s="388"/>
      <c r="M784" s="388"/>
      <c r="N784" s="388"/>
      <c r="O784" s="388"/>
      <c r="P784" s="388"/>
      <c r="Q784" s="388"/>
      <c r="R784" s="388"/>
      <c r="S784" s="388"/>
      <c r="T784" s="388"/>
      <c r="U784" s="388"/>
      <c r="V784" s="388"/>
      <c r="AA784" s="256"/>
    </row>
    <row r="785">
      <c r="A785" s="388"/>
      <c r="B785" s="388"/>
      <c r="C785" s="388"/>
      <c r="D785" s="388"/>
      <c r="E785" s="388"/>
      <c r="F785" s="388"/>
      <c r="G785" s="388"/>
      <c r="H785" s="388"/>
      <c r="I785" s="388"/>
      <c r="J785" s="388"/>
      <c r="K785" s="388"/>
      <c r="L785" s="388"/>
      <c r="M785" s="388"/>
      <c r="N785" s="388"/>
      <c r="O785" s="388"/>
      <c r="P785" s="388"/>
      <c r="Q785" s="388"/>
      <c r="R785" s="388"/>
      <c r="S785" s="388"/>
      <c r="T785" s="388"/>
      <c r="U785" s="388"/>
      <c r="V785" s="388"/>
      <c r="AA785" s="256"/>
    </row>
    <row r="786">
      <c r="A786" s="388"/>
      <c r="B786" s="388"/>
      <c r="C786" s="388"/>
      <c r="D786" s="388"/>
      <c r="E786" s="388"/>
      <c r="F786" s="388"/>
      <c r="G786" s="388"/>
      <c r="H786" s="388"/>
      <c r="I786" s="388"/>
      <c r="J786" s="388"/>
      <c r="K786" s="388"/>
      <c r="L786" s="388"/>
      <c r="M786" s="388"/>
      <c r="N786" s="388"/>
      <c r="O786" s="388"/>
      <c r="P786" s="388"/>
      <c r="Q786" s="388"/>
      <c r="R786" s="388"/>
      <c r="S786" s="388"/>
      <c r="T786" s="388"/>
      <c r="U786" s="388"/>
      <c r="V786" s="388"/>
      <c r="AA786" s="256"/>
    </row>
    <row r="787">
      <c r="A787" s="388"/>
      <c r="B787" s="388"/>
      <c r="C787" s="388"/>
      <c r="D787" s="388"/>
      <c r="E787" s="388"/>
      <c r="F787" s="388"/>
      <c r="G787" s="388"/>
      <c r="H787" s="388"/>
      <c r="I787" s="388"/>
      <c r="J787" s="388"/>
      <c r="K787" s="388"/>
      <c r="L787" s="388"/>
      <c r="M787" s="388"/>
      <c r="N787" s="388"/>
      <c r="O787" s="388"/>
      <c r="P787" s="388"/>
      <c r="Q787" s="388"/>
      <c r="R787" s="388"/>
      <c r="S787" s="388"/>
      <c r="T787" s="388"/>
      <c r="U787" s="388"/>
      <c r="V787" s="388"/>
      <c r="AA787" s="256"/>
    </row>
    <row r="788">
      <c r="A788" s="388"/>
      <c r="B788" s="388"/>
      <c r="C788" s="388"/>
      <c r="D788" s="388"/>
      <c r="E788" s="388"/>
      <c r="F788" s="388"/>
      <c r="G788" s="388"/>
      <c r="H788" s="388"/>
      <c r="I788" s="388"/>
      <c r="J788" s="388"/>
      <c r="K788" s="388"/>
      <c r="L788" s="388"/>
      <c r="M788" s="388"/>
      <c r="N788" s="388"/>
      <c r="O788" s="388"/>
      <c r="P788" s="388"/>
      <c r="Q788" s="388"/>
      <c r="R788" s="388"/>
      <c r="S788" s="388"/>
      <c r="T788" s="388"/>
      <c r="U788" s="388"/>
      <c r="V788" s="388"/>
      <c r="AA788" s="256"/>
    </row>
    <row r="789">
      <c r="A789" s="388"/>
      <c r="B789" s="388"/>
      <c r="C789" s="388"/>
      <c r="D789" s="388"/>
      <c r="E789" s="388"/>
      <c r="F789" s="388"/>
      <c r="G789" s="388"/>
      <c r="H789" s="388"/>
      <c r="I789" s="388"/>
      <c r="J789" s="388"/>
      <c r="K789" s="388"/>
      <c r="L789" s="388"/>
      <c r="M789" s="388"/>
      <c r="N789" s="388"/>
      <c r="O789" s="388"/>
      <c r="P789" s="388"/>
      <c r="Q789" s="388"/>
      <c r="R789" s="388"/>
      <c r="S789" s="388"/>
      <c r="T789" s="388"/>
      <c r="U789" s="388"/>
      <c r="V789" s="388"/>
      <c r="AA789" s="256"/>
    </row>
    <row r="790">
      <c r="A790" s="388"/>
      <c r="B790" s="388"/>
      <c r="C790" s="388"/>
      <c r="D790" s="388"/>
      <c r="E790" s="388"/>
      <c r="F790" s="388"/>
      <c r="G790" s="388"/>
      <c r="H790" s="388"/>
      <c r="I790" s="388"/>
      <c r="J790" s="388"/>
      <c r="K790" s="388"/>
      <c r="L790" s="388"/>
      <c r="M790" s="388"/>
      <c r="N790" s="388"/>
      <c r="O790" s="388"/>
      <c r="P790" s="388"/>
      <c r="Q790" s="388"/>
      <c r="R790" s="388"/>
      <c r="S790" s="388"/>
      <c r="T790" s="388"/>
      <c r="U790" s="388"/>
      <c r="V790" s="388"/>
      <c r="AA790" s="256"/>
    </row>
    <row r="791">
      <c r="A791" s="388"/>
      <c r="B791" s="388"/>
      <c r="C791" s="388"/>
      <c r="D791" s="388"/>
      <c r="E791" s="388"/>
      <c r="F791" s="388"/>
      <c r="G791" s="388"/>
      <c r="H791" s="388"/>
      <c r="I791" s="388"/>
      <c r="J791" s="388"/>
      <c r="K791" s="388"/>
      <c r="L791" s="388"/>
      <c r="M791" s="388"/>
      <c r="N791" s="388"/>
      <c r="O791" s="388"/>
      <c r="P791" s="388"/>
      <c r="Q791" s="388"/>
      <c r="R791" s="388"/>
      <c r="S791" s="388"/>
      <c r="T791" s="388"/>
      <c r="U791" s="388"/>
      <c r="V791" s="388"/>
      <c r="AA791" s="256"/>
    </row>
    <row r="792">
      <c r="A792" s="388"/>
      <c r="B792" s="388"/>
      <c r="C792" s="388"/>
      <c r="D792" s="388"/>
      <c r="E792" s="388"/>
      <c r="F792" s="388"/>
      <c r="G792" s="388"/>
      <c r="H792" s="388"/>
      <c r="I792" s="388"/>
      <c r="J792" s="388"/>
      <c r="K792" s="388"/>
      <c r="L792" s="388"/>
      <c r="M792" s="388"/>
      <c r="N792" s="388"/>
      <c r="O792" s="388"/>
      <c r="P792" s="388"/>
      <c r="Q792" s="388"/>
      <c r="R792" s="388"/>
      <c r="S792" s="388"/>
      <c r="T792" s="388"/>
      <c r="U792" s="388"/>
      <c r="V792" s="388"/>
      <c r="AA792" s="256"/>
    </row>
    <row r="793">
      <c r="A793" s="388"/>
      <c r="B793" s="388"/>
      <c r="C793" s="388"/>
      <c r="D793" s="388"/>
      <c r="E793" s="388"/>
      <c r="F793" s="388"/>
      <c r="G793" s="388"/>
      <c r="H793" s="388"/>
      <c r="I793" s="388"/>
      <c r="J793" s="388"/>
      <c r="K793" s="388"/>
      <c r="L793" s="388"/>
      <c r="M793" s="388"/>
      <c r="N793" s="388"/>
      <c r="O793" s="388"/>
      <c r="P793" s="388"/>
      <c r="Q793" s="388"/>
      <c r="R793" s="388"/>
      <c r="S793" s="388"/>
      <c r="T793" s="388"/>
      <c r="U793" s="388"/>
      <c r="V793" s="388"/>
      <c r="AA793" s="256"/>
    </row>
    <row r="794">
      <c r="A794" s="388"/>
      <c r="B794" s="388"/>
      <c r="C794" s="388"/>
      <c r="D794" s="388"/>
      <c r="E794" s="388"/>
      <c r="F794" s="388"/>
      <c r="G794" s="388"/>
      <c r="H794" s="388"/>
      <c r="I794" s="388"/>
      <c r="J794" s="388"/>
      <c r="K794" s="388"/>
      <c r="L794" s="388"/>
      <c r="M794" s="388"/>
      <c r="N794" s="388"/>
      <c r="O794" s="388"/>
      <c r="P794" s="388"/>
      <c r="Q794" s="388"/>
      <c r="R794" s="388"/>
      <c r="S794" s="388"/>
      <c r="T794" s="388"/>
      <c r="U794" s="388"/>
      <c r="V794" s="388"/>
      <c r="AA794" s="256"/>
    </row>
    <row r="795">
      <c r="A795" s="388"/>
      <c r="B795" s="388"/>
      <c r="C795" s="388"/>
      <c r="D795" s="388"/>
      <c r="E795" s="388"/>
      <c r="F795" s="388"/>
      <c r="G795" s="388"/>
      <c r="H795" s="388"/>
      <c r="I795" s="388"/>
      <c r="J795" s="388"/>
      <c r="K795" s="388"/>
      <c r="L795" s="388"/>
      <c r="M795" s="388"/>
      <c r="N795" s="388"/>
      <c r="O795" s="388"/>
      <c r="P795" s="388"/>
      <c r="Q795" s="388"/>
      <c r="R795" s="388"/>
      <c r="S795" s="388"/>
      <c r="T795" s="388"/>
      <c r="U795" s="388"/>
      <c r="V795" s="388"/>
      <c r="AA795" s="256"/>
    </row>
    <row r="796">
      <c r="A796" s="388"/>
      <c r="B796" s="388"/>
      <c r="C796" s="388"/>
      <c r="D796" s="388"/>
      <c r="E796" s="388"/>
      <c r="F796" s="388"/>
      <c r="G796" s="388"/>
      <c r="H796" s="388"/>
      <c r="I796" s="388"/>
      <c r="J796" s="388"/>
      <c r="K796" s="388"/>
      <c r="L796" s="388"/>
      <c r="M796" s="388"/>
      <c r="N796" s="388"/>
      <c r="O796" s="388"/>
      <c r="P796" s="388"/>
      <c r="Q796" s="388"/>
      <c r="R796" s="388"/>
      <c r="S796" s="388"/>
      <c r="T796" s="388"/>
      <c r="U796" s="388"/>
      <c r="V796" s="388"/>
      <c r="AA796" s="256"/>
    </row>
    <row r="797">
      <c r="A797" s="388"/>
      <c r="B797" s="388"/>
      <c r="C797" s="388"/>
      <c r="D797" s="388"/>
      <c r="E797" s="388"/>
      <c r="F797" s="388"/>
      <c r="G797" s="388"/>
      <c r="H797" s="388"/>
      <c r="I797" s="388"/>
      <c r="J797" s="388"/>
      <c r="K797" s="388"/>
      <c r="L797" s="388"/>
      <c r="M797" s="388"/>
      <c r="N797" s="388"/>
      <c r="O797" s="388"/>
      <c r="P797" s="388"/>
      <c r="Q797" s="388"/>
      <c r="R797" s="388"/>
      <c r="S797" s="388"/>
      <c r="T797" s="388"/>
      <c r="U797" s="388"/>
      <c r="V797" s="388"/>
      <c r="AA797" s="256"/>
    </row>
    <row r="798">
      <c r="A798" s="388"/>
      <c r="B798" s="388"/>
      <c r="C798" s="388"/>
      <c r="D798" s="388"/>
      <c r="E798" s="388"/>
      <c r="F798" s="388"/>
      <c r="G798" s="388"/>
      <c r="H798" s="388"/>
      <c r="I798" s="388"/>
      <c r="J798" s="388"/>
      <c r="K798" s="388"/>
      <c r="L798" s="388"/>
      <c r="M798" s="388"/>
      <c r="N798" s="388"/>
      <c r="O798" s="388"/>
      <c r="P798" s="388"/>
      <c r="Q798" s="388"/>
      <c r="R798" s="388"/>
      <c r="S798" s="388"/>
      <c r="T798" s="388"/>
      <c r="U798" s="388"/>
      <c r="V798" s="388"/>
      <c r="AA798" s="256"/>
    </row>
    <row r="799">
      <c r="A799" s="388"/>
      <c r="B799" s="388"/>
      <c r="C799" s="388"/>
      <c r="D799" s="388"/>
      <c r="E799" s="388"/>
      <c r="F799" s="388"/>
      <c r="G799" s="388"/>
      <c r="H799" s="388"/>
      <c r="I799" s="388"/>
      <c r="J799" s="388"/>
      <c r="K799" s="388"/>
      <c r="L799" s="388"/>
      <c r="M799" s="388"/>
      <c r="N799" s="388"/>
      <c r="O799" s="388"/>
      <c r="P799" s="388"/>
      <c r="Q799" s="388"/>
      <c r="R799" s="388"/>
      <c r="S799" s="388"/>
      <c r="T799" s="388"/>
      <c r="U799" s="388"/>
      <c r="V799" s="388"/>
      <c r="AA799" s="256"/>
    </row>
    <row r="800">
      <c r="A800" s="388"/>
      <c r="B800" s="388"/>
      <c r="C800" s="388"/>
      <c r="D800" s="388"/>
      <c r="E800" s="388"/>
      <c r="F800" s="388"/>
      <c r="G800" s="388"/>
      <c r="H800" s="388"/>
      <c r="I800" s="388"/>
      <c r="J800" s="388"/>
      <c r="K800" s="388"/>
      <c r="L800" s="388"/>
      <c r="M800" s="388"/>
      <c r="N800" s="388"/>
      <c r="O800" s="388"/>
      <c r="P800" s="388"/>
      <c r="Q800" s="388"/>
      <c r="R800" s="388"/>
      <c r="S800" s="388"/>
      <c r="T800" s="388"/>
      <c r="U800" s="388"/>
      <c r="V800" s="388"/>
      <c r="AA800" s="256"/>
    </row>
    <row r="801">
      <c r="A801" s="388"/>
      <c r="B801" s="388"/>
      <c r="C801" s="388"/>
      <c r="D801" s="388"/>
      <c r="E801" s="388"/>
      <c r="F801" s="388"/>
      <c r="G801" s="388"/>
      <c r="H801" s="388"/>
      <c r="I801" s="388"/>
      <c r="J801" s="388"/>
      <c r="K801" s="388"/>
      <c r="L801" s="388"/>
      <c r="M801" s="388"/>
      <c r="N801" s="388"/>
      <c r="O801" s="388"/>
      <c r="P801" s="388"/>
      <c r="Q801" s="388"/>
      <c r="R801" s="388"/>
      <c r="S801" s="388"/>
      <c r="T801" s="388"/>
      <c r="U801" s="388"/>
      <c r="V801" s="388"/>
      <c r="AA801" s="256"/>
    </row>
    <row r="802">
      <c r="A802" s="388"/>
      <c r="B802" s="388"/>
      <c r="C802" s="388"/>
      <c r="D802" s="388"/>
      <c r="E802" s="388"/>
      <c r="F802" s="388"/>
      <c r="G802" s="388"/>
      <c r="H802" s="388"/>
      <c r="I802" s="388"/>
      <c r="J802" s="388"/>
      <c r="K802" s="388"/>
      <c r="L802" s="388"/>
      <c r="M802" s="388"/>
      <c r="N802" s="388"/>
      <c r="O802" s="388"/>
      <c r="P802" s="388"/>
      <c r="Q802" s="388"/>
      <c r="R802" s="388"/>
      <c r="S802" s="388"/>
      <c r="T802" s="388"/>
      <c r="U802" s="388"/>
      <c r="V802" s="388"/>
      <c r="AA802" s="256"/>
    </row>
    <row r="803">
      <c r="A803" s="388"/>
      <c r="B803" s="388"/>
      <c r="C803" s="388"/>
      <c r="D803" s="388"/>
      <c r="E803" s="388"/>
      <c r="F803" s="388"/>
      <c r="G803" s="388"/>
      <c r="H803" s="388"/>
      <c r="I803" s="388"/>
      <c r="J803" s="388"/>
      <c r="K803" s="388"/>
      <c r="L803" s="388"/>
      <c r="M803" s="388"/>
      <c r="N803" s="388"/>
      <c r="O803" s="388"/>
      <c r="P803" s="388"/>
      <c r="Q803" s="388"/>
      <c r="R803" s="388"/>
      <c r="S803" s="388"/>
      <c r="T803" s="388"/>
      <c r="U803" s="388"/>
      <c r="V803" s="388"/>
      <c r="AA803" s="256"/>
    </row>
    <row r="804">
      <c r="A804" s="388"/>
      <c r="B804" s="388"/>
      <c r="C804" s="388"/>
      <c r="D804" s="388"/>
      <c r="E804" s="388"/>
      <c r="F804" s="388"/>
      <c r="G804" s="388"/>
      <c r="H804" s="388"/>
      <c r="I804" s="388"/>
      <c r="J804" s="388"/>
      <c r="K804" s="388"/>
      <c r="L804" s="388"/>
      <c r="M804" s="388"/>
      <c r="N804" s="388"/>
      <c r="O804" s="388"/>
      <c r="P804" s="388"/>
      <c r="Q804" s="388"/>
      <c r="R804" s="388"/>
      <c r="S804" s="388"/>
      <c r="T804" s="388"/>
      <c r="U804" s="388"/>
      <c r="V804" s="388"/>
      <c r="AA804" s="256"/>
    </row>
    <row r="805">
      <c r="A805" s="388"/>
      <c r="B805" s="388"/>
      <c r="C805" s="388"/>
      <c r="D805" s="388"/>
      <c r="E805" s="388"/>
      <c r="F805" s="388"/>
      <c r="G805" s="388"/>
      <c r="H805" s="388"/>
      <c r="I805" s="388"/>
      <c r="J805" s="388"/>
      <c r="K805" s="388"/>
      <c r="L805" s="388"/>
      <c r="M805" s="388"/>
      <c r="N805" s="388"/>
      <c r="O805" s="388"/>
      <c r="P805" s="388"/>
      <c r="Q805" s="388"/>
      <c r="R805" s="388"/>
      <c r="S805" s="388"/>
      <c r="T805" s="388"/>
      <c r="U805" s="388"/>
      <c r="V805" s="388"/>
      <c r="AA805" s="256"/>
    </row>
    <row r="806">
      <c r="A806" s="388"/>
      <c r="B806" s="388"/>
      <c r="C806" s="388"/>
      <c r="D806" s="388"/>
      <c r="E806" s="388"/>
      <c r="F806" s="388"/>
      <c r="G806" s="388"/>
      <c r="H806" s="388"/>
      <c r="I806" s="388"/>
      <c r="J806" s="388"/>
      <c r="K806" s="388"/>
      <c r="L806" s="388"/>
      <c r="M806" s="388"/>
      <c r="N806" s="388"/>
      <c r="O806" s="388"/>
      <c r="P806" s="388"/>
      <c r="Q806" s="388"/>
      <c r="R806" s="388"/>
      <c r="S806" s="388"/>
      <c r="T806" s="388"/>
      <c r="U806" s="388"/>
      <c r="V806" s="388"/>
      <c r="AA806" s="256"/>
    </row>
    <row r="807">
      <c r="A807" s="388"/>
      <c r="B807" s="388"/>
      <c r="C807" s="388"/>
      <c r="D807" s="388"/>
      <c r="E807" s="388"/>
      <c r="F807" s="388"/>
      <c r="G807" s="388"/>
      <c r="H807" s="388"/>
      <c r="I807" s="388"/>
      <c r="J807" s="388"/>
      <c r="K807" s="388"/>
      <c r="L807" s="388"/>
      <c r="M807" s="388"/>
      <c r="N807" s="388"/>
      <c r="O807" s="388"/>
      <c r="P807" s="388"/>
      <c r="Q807" s="388"/>
      <c r="R807" s="388"/>
      <c r="S807" s="388"/>
      <c r="T807" s="388"/>
      <c r="U807" s="388"/>
      <c r="V807" s="388"/>
      <c r="AA807" s="256"/>
    </row>
    <row r="808">
      <c r="A808" s="388"/>
      <c r="B808" s="388"/>
      <c r="C808" s="388"/>
      <c r="D808" s="388"/>
      <c r="E808" s="388"/>
      <c r="F808" s="388"/>
      <c r="G808" s="388"/>
      <c r="H808" s="388"/>
      <c r="I808" s="388"/>
      <c r="J808" s="388"/>
      <c r="K808" s="388"/>
      <c r="L808" s="388"/>
      <c r="M808" s="388"/>
      <c r="N808" s="388"/>
      <c r="O808" s="388"/>
      <c r="P808" s="388"/>
      <c r="Q808" s="388"/>
      <c r="R808" s="388"/>
      <c r="S808" s="388"/>
      <c r="T808" s="388"/>
      <c r="U808" s="388"/>
      <c r="V808" s="388"/>
      <c r="AA808" s="256"/>
    </row>
    <row r="809">
      <c r="A809" s="388"/>
      <c r="B809" s="388"/>
      <c r="C809" s="388"/>
      <c r="D809" s="388"/>
      <c r="E809" s="388"/>
      <c r="F809" s="388"/>
      <c r="G809" s="388"/>
      <c r="H809" s="388"/>
      <c r="I809" s="388"/>
      <c r="J809" s="388"/>
      <c r="K809" s="388"/>
      <c r="L809" s="388"/>
      <c r="M809" s="388"/>
      <c r="N809" s="388"/>
      <c r="O809" s="388"/>
      <c r="P809" s="388"/>
      <c r="Q809" s="388"/>
      <c r="R809" s="388"/>
      <c r="S809" s="388"/>
      <c r="T809" s="388"/>
      <c r="U809" s="388"/>
      <c r="V809" s="388"/>
      <c r="AA809" s="256"/>
    </row>
    <row r="810">
      <c r="A810" s="388"/>
      <c r="B810" s="388"/>
      <c r="C810" s="388"/>
      <c r="D810" s="388"/>
      <c r="E810" s="388"/>
      <c r="F810" s="388"/>
      <c r="G810" s="388"/>
      <c r="H810" s="388"/>
      <c r="I810" s="388"/>
      <c r="J810" s="388"/>
      <c r="K810" s="388"/>
      <c r="L810" s="388"/>
      <c r="M810" s="388"/>
      <c r="N810" s="388"/>
      <c r="O810" s="388"/>
      <c r="P810" s="388"/>
      <c r="Q810" s="388"/>
      <c r="R810" s="388"/>
      <c r="S810" s="388"/>
      <c r="T810" s="388"/>
      <c r="U810" s="388"/>
      <c r="V810" s="388"/>
      <c r="AA810" s="256"/>
    </row>
    <row r="811">
      <c r="A811" s="388"/>
      <c r="B811" s="388"/>
      <c r="C811" s="388"/>
      <c r="D811" s="388"/>
      <c r="E811" s="388"/>
      <c r="F811" s="388"/>
      <c r="G811" s="388"/>
      <c r="H811" s="388"/>
      <c r="I811" s="388"/>
      <c r="J811" s="388"/>
      <c r="K811" s="388"/>
      <c r="L811" s="388"/>
      <c r="M811" s="388"/>
      <c r="N811" s="388"/>
      <c r="O811" s="388"/>
      <c r="P811" s="388"/>
      <c r="Q811" s="388"/>
      <c r="R811" s="388"/>
      <c r="S811" s="388"/>
      <c r="T811" s="388"/>
      <c r="U811" s="388"/>
      <c r="V811" s="388"/>
      <c r="AA811" s="256"/>
    </row>
    <row r="812">
      <c r="A812" s="388"/>
      <c r="B812" s="388"/>
      <c r="C812" s="388"/>
      <c r="D812" s="388"/>
      <c r="E812" s="388"/>
      <c r="F812" s="388"/>
      <c r="G812" s="388"/>
      <c r="H812" s="388"/>
      <c r="I812" s="388"/>
      <c r="J812" s="388"/>
      <c r="K812" s="388"/>
      <c r="L812" s="388"/>
      <c r="M812" s="388"/>
      <c r="N812" s="388"/>
      <c r="O812" s="388"/>
      <c r="P812" s="388"/>
      <c r="Q812" s="388"/>
      <c r="R812" s="388"/>
      <c r="S812" s="388"/>
      <c r="T812" s="388"/>
      <c r="U812" s="388"/>
      <c r="V812" s="388"/>
      <c r="AA812" s="256"/>
    </row>
    <row r="813">
      <c r="A813" s="388"/>
      <c r="B813" s="388"/>
      <c r="C813" s="388"/>
      <c r="D813" s="388"/>
      <c r="E813" s="388"/>
      <c r="F813" s="388"/>
      <c r="G813" s="388"/>
      <c r="H813" s="388"/>
      <c r="I813" s="388"/>
      <c r="J813" s="388"/>
      <c r="K813" s="388"/>
      <c r="L813" s="388"/>
      <c r="M813" s="388"/>
      <c r="N813" s="388"/>
      <c r="O813" s="388"/>
      <c r="P813" s="388"/>
      <c r="Q813" s="388"/>
      <c r="R813" s="388"/>
      <c r="S813" s="388"/>
      <c r="T813" s="388"/>
      <c r="U813" s="388"/>
      <c r="V813" s="388"/>
      <c r="AA813" s="256"/>
    </row>
    <row r="814">
      <c r="A814" s="388"/>
      <c r="B814" s="388"/>
      <c r="C814" s="388"/>
      <c r="D814" s="388"/>
      <c r="E814" s="388"/>
      <c r="F814" s="388"/>
      <c r="G814" s="388"/>
      <c r="H814" s="388"/>
      <c r="I814" s="388"/>
      <c r="J814" s="388"/>
      <c r="K814" s="388"/>
      <c r="L814" s="388"/>
      <c r="M814" s="388"/>
      <c r="N814" s="388"/>
      <c r="O814" s="388"/>
      <c r="P814" s="388"/>
      <c r="Q814" s="388"/>
      <c r="R814" s="388"/>
      <c r="S814" s="388"/>
      <c r="T814" s="388"/>
      <c r="U814" s="388"/>
      <c r="V814" s="388"/>
      <c r="AA814" s="256"/>
    </row>
    <row r="815">
      <c r="A815" s="388"/>
      <c r="B815" s="388"/>
      <c r="C815" s="388"/>
      <c r="D815" s="388"/>
      <c r="E815" s="388"/>
      <c r="F815" s="388"/>
      <c r="G815" s="388"/>
      <c r="H815" s="388"/>
      <c r="I815" s="388"/>
      <c r="J815" s="388"/>
      <c r="K815" s="388"/>
      <c r="L815" s="388"/>
      <c r="M815" s="388"/>
      <c r="N815" s="388"/>
      <c r="O815" s="388"/>
      <c r="P815" s="388"/>
      <c r="Q815" s="388"/>
      <c r="R815" s="388"/>
      <c r="S815" s="388"/>
      <c r="T815" s="388"/>
      <c r="U815" s="388"/>
      <c r="V815" s="388"/>
      <c r="AA815" s="256"/>
    </row>
    <row r="816">
      <c r="A816" s="388"/>
      <c r="B816" s="388"/>
      <c r="C816" s="388"/>
      <c r="D816" s="388"/>
      <c r="E816" s="388"/>
      <c r="F816" s="388"/>
      <c r="G816" s="388"/>
      <c r="H816" s="388"/>
      <c r="I816" s="388"/>
      <c r="J816" s="388"/>
      <c r="K816" s="388"/>
      <c r="L816" s="388"/>
      <c r="M816" s="388"/>
      <c r="N816" s="388"/>
      <c r="O816" s="388"/>
      <c r="P816" s="388"/>
      <c r="Q816" s="388"/>
      <c r="R816" s="388"/>
      <c r="S816" s="388"/>
      <c r="T816" s="388"/>
      <c r="U816" s="388"/>
      <c r="V816" s="388"/>
      <c r="AA816" s="256"/>
    </row>
    <row r="817">
      <c r="A817" s="388"/>
      <c r="B817" s="388"/>
      <c r="C817" s="388"/>
      <c r="D817" s="388"/>
      <c r="E817" s="388"/>
      <c r="F817" s="388"/>
      <c r="G817" s="388"/>
      <c r="H817" s="388"/>
      <c r="I817" s="388"/>
      <c r="J817" s="388"/>
      <c r="K817" s="388"/>
      <c r="L817" s="388"/>
      <c r="M817" s="388"/>
      <c r="N817" s="388"/>
      <c r="O817" s="388"/>
      <c r="P817" s="388"/>
      <c r="Q817" s="388"/>
      <c r="R817" s="388"/>
      <c r="S817" s="388"/>
      <c r="T817" s="388"/>
      <c r="U817" s="388"/>
      <c r="V817" s="388"/>
      <c r="AA817" s="256"/>
    </row>
    <row r="818">
      <c r="A818" s="388"/>
      <c r="B818" s="388"/>
      <c r="C818" s="388"/>
      <c r="D818" s="388"/>
      <c r="E818" s="388"/>
      <c r="F818" s="388"/>
      <c r="G818" s="388"/>
      <c r="H818" s="388"/>
      <c r="I818" s="388"/>
      <c r="J818" s="388"/>
      <c r="K818" s="388"/>
      <c r="L818" s="388"/>
      <c r="M818" s="388"/>
      <c r="N818" s="388"/>
      <c r="O818" s="388"/>
      <c r="P818" s="388"/>
      <c r="Q818" s="388"/>
      <c r="R818" s="388"/>
      <c r="S818" s="388"/>
      <c r="T818" s="388"/>
      <c r="U818" s="388"/>
      <c r="V818" s="388"/>
      <c r="AA818" s="256"/>
    </row>
    <row r="819">
      <c r="A819" s="388"/>
      <c r="B819" s="388"/>
      <c r="C819" s="388"/>
      <c r="D819" s="388"/>
      <c r="E819" s="388"/>
      <c r="F819" s="388"/>
      <c r="G819" s="388"/>
      <c r="H819" s="388"/>
      <c r="I819" s="388"/>
      <c r="J819" s="388"/>
      <c r="K819" s="388"/>
      <c r="L819" s="388"/>
      <c r="M819" s="388"/>
      <c r="N819" s="388"/>
      <c r="O819" s="388"/>
      <c r="P819" s="388"/>
      <c r="Q819" s="388"/>
      <c r="R819" s="388"/>
      <c r="S819" s="388"/>
      <c r="T819" s="388"/>
      <c r="U819" s="388"/>
      <c r="V819" s="388"/>
      <c r="AA819" s="256"/>
    </row>
    <row r="820">
      <c r="A820" s="388"/>
      <c r="B820" s="388"/>
      <c r="C820" s="388"/>
      <c r="D820" s="388"/>
      <c r="E820" s="388"/>
      <c r="F820" s="388"/>
      <c r="G820" s="388"/>
      <c r="H820" s="388"/>
      <c r="I820" s="388"/>
      <c r="J820" s="388"/>
      <c r="K820" s="388"/>
      <c r="L820" s="388"/>
      <c r="M820" s="388"/>
      <c r="N820" s="388"/>
      <c r="O820" s="388"/>
      <c r="P820" s="388"/>
      <c r="Q820" s="388"/>
      <c r="R820" s="388"/>
      <c r="S820" s="388"/>
      <c r="T820" s="388"/>
      <c r="U820" s="388"/>
      <c r="V820" s="388"/>
      <c r="AA820" s="256"/>
    </row>
    <row r="821">
      <c r="A821" s="388"/>
      <c r="B821" s="388"/>
      <c r="C821" s="388"/>
      <c r="D821" s="388"/>
      <c r="E821" s="388"/>
      <c r="F821" s="388"/>
      <c r="G821" s="388"/>
      <c r="H821" s="388"/>
      <c r="I821" s="388"/>
      <c r="J821" s="388"/>
      <c r="K821" s="388"/>
      <c r="L821" s="388"/>
      <c r="M821" s="388"/>
      <c r="N821" s="388"/>
      <c r="O821" s="388"/>
      <c r="P821" s="388"/>
      <c r="Q821" s="388"/>
      <c r="R821" s="388"/>
      <c r="S821" s="388"/>
      <c r="T821" s="388"/>
      <c r="U821" s="388"/>
      <c r="V821" s="388"/>
      <c r="AA821" s="256"/>
    </row>
    <row r="822">
      <c r="A822" s="388"/>
      <c r="B822" s="388"/>
      <c r="C822" s="388"/>
      <c r="D822" s="388"/>
      <c r="E822" s="388"/>
      <c r="F822" s="388"/>
      <c r="G822" s="388"/>
      <c r="H822" s="388"/>
      <c r="I822" s="388"/>
      <c r="J822" s="388"/>
      <c r="K822" s="388"/>
      <c r="L822" s="388"/>
      <c r="M822" s="388"/>
      <c r="N822" s="388"/>
      <c r="O822" s="388"/>
      <c r="P822" s="388"/>
      <c r="Q822" s="388"/>
      <c r="R822" s="388"/>
      <c r="S822" s="388"/>
      <c r="T822" s="388"/>
      <c r="U822" s="388"/>
      <c r="V822" s="388"/>
      <c r="AA822" s="256"/>
    </row>
    <row r="823">
      <c r="A823" s="388"/>
      <c r="B823" s="388"/>
      <c r="C823" s="388"/>
      <c r="D823" s="388"/>
      <c r="E823" s="388"/>
      <c r="F823" s="388"/>
      <c r="G823" s="388"/>
      <c r="H823" s="388"/>
      <c r="I823" s="388"/>
      <c r="J823" s="388"/>
      <c r="K823" s="388"/>
      <c r="L823" s="388"/>
      <c r="M823" s="388"/>
      <c r="N823" s="388"/>
      <c r="O823" s="388"/>
      <c r="P823" s="388"/>
      <c r="Q823" s="388"/>
      <c r="R823" s="388"/>
      <c r="S823" s="388"/>
      <c r="T823" s="388"/>
      <c r="U823" s="388"/>
      <c r="V823" s="388"/>
      <c r="AA823" s="256"/>
    </row>
    <row r="824">
      <c r="A824" s="388"/>
      <c r="B824" s="388"/>
      <c r="C824" s="388"/>
      <c r="D824" s="388"/>
      <c r="E824" s="388"/>
      <c r="F824" s="388"/>
      <c r="G824" s="388"/>
      <c r="H824" s="388"/>
      <c r="I824" s="388"/>
      <c r="J824" s="388"/>
      <c r="K824" s="388"/>
      <c r="L824" s="388"/>
      <c r="M824" s="388"/>
      <c r="N824" s="388"/>
      <c r="O824" s="388"/>
      <c r="P824" s="388"/>
      <c r="Q824" s="388"/>
      <c r="R824" s="388"/>
      <c r="S824" s="388"/>
      <c r="T824" s="388"/>
      <c r="U824" s="388"/>
      <c r="V824" s="388"/>
      <c r="AA824" s="256"/>
    </row>
    <row r="825">
      <c r="A825" s="388"/>
      <c r="B825" s="388"/>
      <c r="C825" s="388"/>
      <c r="D825" s="388"/>
      <c r="E825" s="388"/>
      <c r="F825" s="388"/>
      <c r="G825" s="388"/>
      <c r="H825" s="388"/>
      <c r="I825" s="388"/>
      <c r="J825" s="388"/>
      <c r="K825" s="388"/>
      <c r="L825" s="388"/>
      <c r="M825" s="388"/>
      <c r="N825" s="388"/>
      <c r="O825" s="388"/>
      <c r="P825" s="388"/>
      <c r="Q825" s="388"/>
      <c r="R825" s="388"/>
      <c r="S825" s="388"/>
      <c r="T825" s="388"/>
      <c r="U825" s="388"/>
      <c r="V825" s="388"/>
      <c r="AA825" s="256"/>
    </row>
    <row r="826">
      <c r="A826" s="388"/>
      <c r="B826" s="388"/>
      <c r="C826" s="388"/>
      <c r="D826" s="388"/>
      <c r="E826" s="388"/>
      <c r="F826" s="388"/>
      <c r="G826" s="388"/>
      <c r="H826" s="388"/>
      <c r="I826" s="388"/>
      <c r="J826" s="388"/>
      <c r="K826" s="388"/>
      <c r="L826" s="388"/>
      <c r="M826" s="388"/>
      <c r="N826" s="388"/>
      <c r="O826" s="388"/>
      <c r="P826" s="388"/>
      <c r="Q826" s="388"/>
      <c r="R826" s="388"/>
      <c r="S826" s="388"/>
      <c r="T826" s="388"/>
      <c r="U826" s="388"/>
      <c r="V826" s="388"/>
      <c r="AA826" s="256"/>
    </row>
    <row r="827">
      <c r="A827" s="388"/>
      <c r="B827" s="388"/>
      <c r="C827" s="388"/>
      <c r="D827" s="388"/>
      <c r="E827" s="388"/>
      <c r="F827" s="388"/>
      <c r="G827" s="388"/>
      <c r="H827" s="388"/>
      <c r="I827" s="388"/>
      <c r="J827" s="388"/>
      <c r="K827" s="388"/>
      <c r="L827" s="388"/>
      <c r="M827" s="388"/>
      <c r="N827" s="388"/>
      <c r="O827" s="388"/>
      <c r="P827" s="388"/>
      <c r="Q827" s="388"/>
      <c r="R827" s="388"/>
      <c r="S827" s="388"/>
      <c r="T827" s="388"/>
      <c r="U827" s="388"/>
      <c r="V827" s="388"/>
      <c r="AA827" s="256"/>
    </row>
    <row r="828">
      <c r="A828" s="388"/>
      <c r="B828" s="388"/>
      <c r="C828" s="388"/>
      <c r="D828" s="388"/>
      <c r="E828" s="388"/>
      <c r="F828" s="388"/>
      <c r="G828" s="388"/>
      <c r="H828" s="388"/>
      <c r="I828" s="388"/>
      <c r="J828" s="388"/>
      <c r="K828" s="388"/>
      <c r="L828" s="388"/>
      <c r="M828" s="388"/>
      <c r="N828" s="388"/>
      <c r="O828" s="388"/>
      <c r="P828" s="388"/>
      <c r="Q828" s="388"/>
      <c r="R828" s="388"/>
      <c r="S828" s="388"/>
      <c r="T828" s="388"/>
      <c r="U828" s="388"/>
      <c r="V828" s="388"/>
      <c r="AA828" s="256"/>
    </row>
    <row r="829">
      <c r="A829" s="388"/>
      <c r="B829" s="388"/>
      <c r="C829" s="388"/>
      <c r="D829" s="388"/>
      <c r="E829" s="388"/>
      <c r="F829" s="388"/>
      <c r="G829" s="388"/>
      <c r="H829" s="388"/>
      <c r="I829" s="388"/>
      <c r="J829" s="388"/>
      <c r="K829" s="388"/>
      <c r="L829" s="388"/>
      <c r="M829" s="388"/>
      <c r="N829" s="388"/>
      <c r="O829" s="388"/>
      <c r="P829" s="388"/>
      <c r="Q829" s="388"/>
      <c r="R829" s="388"/>
      <c r="S829" s="388"/>
      <c r="T829" s="388"/>
      <c r="U829" s="388"/>
      <c r="V829" s="388"/>
      <c r="AA829" s="256"/>
    </row>
    <row r="830">
      <c r="A830" s="388"/>
      <c r="B830" s="388"/>
      <c r="C830" s="388"/>
      <c r="D830" s="388"/>
      <c r="E830" s="388"/>
      <c r="F830" s="388"/>
      <c r="G830" s="388"/>
      <c r="H830" s="388"/>
      <c r="I830" s="388"/>
      <c r="J830" s="388"/>
      <c r="K830" s="388"/>
      <c r="L830" s="388"/>
      <c r="M830" s="388"/>
      <c r="N830" s="388"/>
      <c r="O830" s="388"/>
      <c r="P830" s="388"/>
      <c r="Q830" s="388"/>
      <c r="R830" s="388"/>
      <c r="S830" s="388"/>
      <c r="T830" s="388"/>
      <c r="U830" s="388"/>
      <c r="V830" s="388"/>
      <c r="AA830" s="256"/>
    </row>
    <row r="831">
      <c r="A831" s="388"/>
      <c r="B831" s="388"/>
      <c r="C831" s="388"/>
      <c r="D831" s="388"/>
      <c r="E831" s="388"/>
      <c r="F831" s="388"/>
      <c r="G831" s="388"/>
      <c r="H831" s="388"/>
      <c r="I831" s="388"/>
      <c r="J831" s="388"/>
      <c r="K831" s="388"/>
      <c r="L831" s="388"/>
      <c r="M831" s="388"/>
      <c r="N831" s="388"/>
      <c r="O831" s="388"/>
      <c r="P831" s="388"/>
      <c r="Q831" s="388"/>
      <c r="R831" s="388"/>
      <c r="S831" s="388"/>
      <c r="T831" s="388"/>
      <c r="U831" s="388"/>
      <c r="V831" s="388"/>
      <c r="AA831" s="256"/>
    </row>
    <row r="832">
      <c r="A832" s="388"/>
      <c r="B832" s="388"/>
      <c r="C832" s="388"/>
      <c r="D832" s="388"/>
      <c r="E832" s="388"/>
      <c r="F832" s="388"/>
      <c r="G832" s="388"/>
      <c r="H832" s="388"/>
      <c r="I832" s="388"/>
      <c r="J832" s="388"/>
      <c r="K832" s="388"/>
      <c r="L832" s="388"/>
      <c r="M832" s="388"/>
      <c r="N832" s="388"/>
      <c r="O832" s="388"/>
      <c r="P832" s="388"/>
      <c r="Q832" s="388"/>
      <c r="R832" s="388"/>
      <c r="S832" s="388"/>
      <c r="T832" s="388"/>
      <c r="U832" s="388"/>
      <c r="V832" s="388"/>
      <c r="AA832" s="256"/>
    </row>
    <row r="833">
      <c r="A833" s="388"/>
      <c r="B833" s="388"/>
      <c r="C833" s="388"/>
      <c r="D833" s="388"/>
      <c r="E833" s="388"/>
      <c r="F833" s="388"/>
      <c r="G833" s="388"/>
      <c r="H833" s="388"/>
      <c r="I833" s="388"/>
      <c r="J833" s="388"/>
      <c r="K833" s="388"/>
      <c r="L833" s="388"/>
      <c r="M833" s="388"/>
      <c r="N833" s="388"/>
      <c r="O833" s="388"/>
      <c r="P833" s="388"/>
      <c r="Q833" s="388"/>
      <c r="R833" s="388"/>
      <c r="S833" s="388"/>
      <c r="T833" s="388"/>
      <c r="U833" s="388"/>
      <c r="V833" s="388"/>
      <c r="AA833" s="256"/>
    </row>
    <row r="834">
      <c r="A834" s="388"/>
      <c r="B834" s="388"/>
      <c r="C834" s="388"/>
      <c r="D834" s="388"/>
      <c r="E834" s="388"/>
      <c r="F834" s="388"/>
      <c r="G834" s="388"/>
      <c r="H834" s="388"/>
      <c r="I834" s="388"/>
      <c r="J834" s="388"/>
      <c r="K834" s="388"/>
      <c r="L834" s="388"/>
      <c r="M834" s="388"/>
      <c r="N834" s="388"/>
      <c r="O834" s="388"/>
      <c r="P834" s="388"/>
      <c r="Q834" s="388"/>
      <c r="R834" s="388"/>
      <c r="S834" s="388"/>
      <c r="T834" s="388"/>
      <c r="U834" s="388"/>
      <c r="V834" s="388"/>
      <c r="AA834" s="256"/>
    </row>
    <row r="835">
      <c r="A835" s="388"/>
      <c r="B835" s="388"/>
      <c r="C835" s="388"/>
      <c r="D835" s="388"/>
      <c r="E835" s="388"/>
      <c r="F835" s="388"/>
      <c r="G835" s="388"/>
      <c r="H835" s="388"/>
      <c r="I835" s="388"/>
      <c r="J835" s="388"/>
      <c r="K835" s="388"/>
      <c r="L835" s="388"/>
      <c r="M835" s="388"/>
      <c r="N835" s="388"/>
      <c r="O835" s="388"/>
      <c r="P835" s="388"/>
      <c r="Q835" s="388"/>
      <c r="R835" s="388"/>
      <c r="S835" s="388"/>
      <c r="T835" s="388"/>
      <c r="U835" s="388"/>
      <c r="V835" s="388"/>
      <c r="AA835" s="256"/>
    </row>
    <row r="836">
      <c r="A836" s="388"/>
      <c r="B836" s="388"/>
      <c r="C836" s="388"/>
      <c r="D836" s="388"/>
      <c r="E836" s="388"/>
      <c r="F836" s="388"/>
      <c r="G836" s="388"/>
      <c r="H836" s="388"/>
      <c r="I836" s="388"/>
      <c r="J836" s="388"/>
      <c r="K836" s="388"/>
      <c r="L836" s="388"/>
      <c r="M836" s="388"/>
      <c r="N836" s="388"/>
      <c r="O836" s="388"/>
      <c r="P836" s="388"/>
      <c r="Q836" s="388"/>
      <c r="R836" s="388"/>
      <c r="S836" s="388"/>
      <c r="T836" s="388"/>
      <c r="U836" s="388"/>
      <c r="V836" s="388"/>
      <c r="AA836" s="256"/>
    </row>
    <row r="837">
      <c r="A837" s="388"/>
      <c r="B837" s="388"/>
      <c r="C837" s="388"/>
      <c r="D837" s="388"/>
      <c r="E837" s="388"/>
      <c r="F837" s="388"/>
      <c r="G837" s="388"/>
      <c r="H837" s="388"/>
      <c r="I837" s="388"/>
      <c r="J837" s="388"/>
      <c r="K837" s="388"/>
      <c r="L837" s="388"/>
      <c r="M837" s="388"/>
      <c r="N837" s="388"/>
      <c r="O837" s="388"/>
      <c r="P837" s="388"/>
      <c r="Q837" s="388"/>
      <c r="R837" s="388"/>
      <c r="S837" s="388"/>
      <c r="T837" s="388"/>
      <c r="U837" s="388"/>
      <c r="V837" s="388"/>
      <c r="AA837" s="256"/>
    </row>
    <row r="838">
      <c r="A838" s="388"/>
      <c r="B838" s="388"/>
      <c r="C838" s="388"/>
      <c r="D838" s="388"/>
      <c r="E838" s="388"/>
      <c r="F838" s="388"/>
      <c r="G838" s="388"/>
      <c r="H838" s="388"/>
      <c r="I838" s="388"/>
      <c r="J838" s="388"/>
      <c r="K838" s="388"/>
      <c r="L838" s="388"/>
      <c r="M838" s="388"/>
      <c r="N838" s="388"/>
      <c r="O838" s="388"/>
      <c r="P838" s="388"/>
      <c r="Q838" s="388"/>
      <c r="R838" s="388"/>
      <c r="S838" s="388"/>
      <c r="T838" s="388"/>
      <c r="U838" s="388"/>
      <c r="V838" s="388"/>
      <c r="AA838" s="256"/>
    </row>
    <row r="839">
      <c r="A839" s="388"/>
      <c r="B839" s="388"/>
      <c r="C839" s="388"/>
      <c r="D839" s="388"/>
      <c r="E839" s="388"/>
      <c r="F839" s="388"/>
      <c r="G839" s="388"/>
      <c r="H839" s="388"/>
      <c r="I839" s="388"/>
      <c r="J839" s="388"/>
      <c r="K839" s="388"/>
      <c r="L839" s="388"/>
      <c r="M839" s="388"/>
      <c r="N839" s="388"/>
      <c r="O839" s="388"/>
      <c r="P839" s="388"/>
      <c r="Q839" s="388"/>
      <c r="R839" s="388"/>
      <c r="S839" s="388"/>
      <c r="T839" s="388"/>
      <c r="U839" s="388"/>
      <c r="V839" s="388"/>
      <c r="AA839" s="256"/>
    </row>
    <row r="840">
      <c r="A840" s="388"/>
      <c r="B840" s="388"/>
      <c r="C840" s="388"/>
      <c r="D840" s="388"/>
      <c r="E840" s="388"/>
      <c r="F840" s="388"/>
      <c r="G840" s="388"/>
      <c r="H840" s="388"/>
      <c r="I840" s="388"/>
      <c r="J840" s="388"/>
      <c r="K840" s="388"/>
      <c r="L840" s="388"/>
      <c r="M840" s="388"/>
      <c r="N840" s="388"/>
      <c r="O840" s="388"/>
      <c r="P840" s="388"/>
      <c r="Q840" s="388"/>
      <c r="R840" s="388"/>
      <c r="S840" s="388"/>
      <c r="T840" s="388"/>
      <c r="U840" s="388"/>
      <c r="V840" s="388"/>
      <c r="AA840" s="256"/>
    </row>
    <row r="841">
      <c r="A841" s="388"/>
      <c r="B841" s="388"/>
      <c r="C841" s="388"/>
      <c r="D841" s="388"/>
      <c r="E841" s="388"/>
      <c r="F841" s="388"/>
      <c r="G841" s="388"/>
      <c r="H841" s="388"/>
      <c r="I841" s="388"/>
      <c r="J841" s="388"/>
      <c r="K841" s="388"/>
      <c r="L841" s="388"/>
      <c r="M841" s="388"/>
      <c r="N841" s="388"/>
      <c r="O841" s="388"/>
      <c r="P841" s="388"/>
      <c r="Q841" s="388"/>
      <c r="R841" s="388"/>
      <c r="S841" s="388"/>
      <c r="T841" s="388"/>
      <c r="U841" s="388"/>
      <c r="V841" s="388"/>
      <c r="AA841" s="256"/>
    </row>
    <row r="842">
      <c r="A842" s="388"/>
      <c r="B842" s="388"/>
      <c r="C842" s="388"/>
      <c r="D842" s="388"/>
      <c r="E842" s="388"/>
      <c r="F842" s="388"/>
      <c r="G842" s="388"/>
      <c r="H842" s="388"/>
      <c r="I842" s="388"/>
      <c r="J842" s="388"/>
      <c r="K842" s="388"/>
      <c r="L842" s="388"/>
      <c r="M842" s="388"/>
      <c r="N842" s="388"/>
      <c r="O842" s="388"/>
      <c r="P842" s="388"/>
      <c r="Q842" s="388"/>
      <c r="R842" s="388"/>
      <c r="S842" s="388"/>
      <c r="T842" s="388"/>
      <c r="U842" s="388"/>
      <c r="V842" s="388"/>
      <c r="AA842" s="256"/>
    </row>
    <row r="843">
      <c r="A843" s="388"/>
      <c r="B843" s="388"/>
      <c r="C843" s="388"/>
      <c r="D843" s="388"/>
      <c r="E843" s="388"/>
      <c r="F843" s="388"/>
      <c r="G843" s="388"/>
      <c r="H843" s="388"/>
      <c r="I843" s="388"/>
      <c r="J843" s="388"/>
      <c r="K843" s="388"/>
      <c r="L843" s="388"/>
      <c r="M843" s="388"/>
      <c r="N843" s="388"/>
      <c r="O843" s="388"/>
      <c r="P843" s="388"/>
      <c r="Q843" s="388"/>
      <c r="R843" s="388"/>
      <c r="S843" s="388"/>
      <c r="T843" s="388"/>
      <c r="U843" s="388"/>
      <c r="V843" s="388"/>
      <c r="AA843" s="256"/>
    </row>
    <row r="844">
      <c r="A844" s="388"/>
      <c r="B844" s="388"/>
      <c r="C844" s="388"/>
      <c r="D844" s="388"/>
      <c r="E844" s="388"/>
      <c r="F844" s="388"/>
      <c r="G844" s="388"/>
      <c r="H844" s="388"/>
      <c r="I844" s="388"/>
      <c r="J844" s="388"/>
      <c r="K844" s="388"/>
      <c r="L844" s="388"/>
      <c r="M844" s="388"/>
      <c r="N844" s="388"/>
      <c r="O844" s="388"/>
      <c r="P844" s="388"/>
      <c r="Q844" s="388"/>
      <c r="R844" s="388"/>
      <c r="S844" s="388"/>
      <c r="T844" s="388"/>
      <c r="U844" s="388"/>
      <c r="V844" s="388"/>
      <c r="AA844" s="256"/>
    </row>
    <row r="845">
      <c r="A845" s="388"/>
      <c r="B845" s="388"/>
      <c r="C845" s="388"/>
      <c r="D845" s="388"/>
      <c r="E845" s="388"/>
      <c r="F845" s="388"/>
      <c r="G845" s="388"/>
      <c r="H845" s="388"/>
      <c r="I845" s="388"/>
      <c r="J845" s="388"/>
      <c r="K845" s="388"/>
      <c r="L845" s="388"/>
      <c r="M845" s="388"/>
      <c r="N845" s="388"/>
      <c r="O845" s="388"/>
      <c r="P845" s="388"/>
      <c r="Q845" s="388"/>
      <c r="R845" s="388"/>
      <c r="S845" s="388"/>
      <c r="T845" s="388"/>
      <c r="U845" s="388"/>
      <c r="V845" s="388"/>
      <c r="AA845" s="256"/>
    </row>
    <row r="846">
      <c r="A846" s="388"/>
      <c r="B846" s="388"/>
      <c r="C846" s="388"/>
      <c r="D846" s="388"/>
      <c r="E846" s="388"/>
      <c r="F846" s="388"/>
      <c r="G846" s="388"/>
      <c r="H846" s="388"/>
      <c r="I846" s="388"/>
      <c r="J846" s="388"/>
      <c r="K846" s="388"/>
      <c r="L846" s="388"/>
      <c r="M846" s="388"/>
      <c r="N846" s="388"/>
      <c r="O846" s="388"/>
      <c r="P846" s="388"/>
      <c r="Q846" s="388"/>
      <c r="R846" s="388"/>
      <c r="S846" s="388"/>
      <c r="T846" s="388"/>
      <c r="U846" s="388"/>
      <c r="V846" s="388"/>
      <c r="AA846" s="256"/>
    </row>
    <row r="847">
      <c r="A847" s="388"/>
      <c r="B847" s="388"/>
      <c r="C847" s="388"/>
      <c r="D847" s="388"/>
      <c r="E847" s="388"/>
      <c r="F847" s="388"/>
      <c r="G847" s="388"/>
      <c r="H847" s="388"/>
      <c r="I847" s="388"/>
      <c r="J847" s="388"/>
      <c r="K847" s="388"/>
      <c r="L847" s="388"/>
      <c r="M847" s="388"/>
      <c r="N847" s="388"/>
      <c r="O847" s="388"/>
      <c r="P847" s="388"/>
      <c r="Q847" s="388"/>
      <c r="R847" s="388"/>
      <c r="S847" s="388"/>
      <c r="T847" s="388"/>
      <c r="U847" s="388"/>
      <c r="V847" s="388"/>
      <c r="AA847" s="256"/>
    </row>
    <row r="848">
      <c r="A848" s="388"/>
      <c r="B848" s="388"/>
      <c r="C848" s="388"/>
      <c r="D848" s="388"/>
      <c r="E848" s="388"/>
      <c r="F848" s="388"/>
      <c r="G848" s="388"/>
      <c r="H848" s="388"/>
      <c r="I848" s="388"/>
      <c r="J848" s="388"/>
      <c r="K848" s="388"/>
      <c r="L848" s="388"/>
      <c r="M848" s="388"/>
      <c r="N848" s="388"/>
      <c r="O848" s="388"/>
      <c r="P848" s="388"/>
      <c r="Q848" s="388"/>
      <c r="R848" s="388"/>
      <c r="S848" s="388"/>
      <c r="T848" s="388"/>
      <c r="U848" s="388"/>
      <c r="V848" s="388"/>
      <c r="AA848" s="256"/>
    </row>
    <row r="849">
      <c r="A849" s="388"/>
      <c r="B849" s="388"/>
      <c r="C849" s="388"/>
      <c r="D849" s="388"/>
      <c r="E849" s="388"/>
      <c r="F849" s="388"/>
      <c r="G849" s="388"/>
      <c r="H849" s="388"/>
      <c r="I849" s="388"/>
      <c r="J849" s="388"/>
      <c r="K849" s="388"/>
      <c r="L849" s="388"/>
      <c r="M849" s="388"/>
      <c r="N849" s="388"/>
      <c r="O849" s="388"/>
      <c r="P849" s="388"/>
      <c r="Q849" s="388"/>
      <c r="R849" s="388"/>
      <c r="S849" s="388"/>
      <c r="T849" s="388"/>
      <c r="U849" s="388"/>
      <c r="V849" s="388"/>
      <c r="AA849" s="256"/>
    </row>
    <row r="850">
      <c r="A850" s="388"/>
      <c r="B850" s="388"/>
      <c r="C850" s="388"/>
      <c r="D850" s="388"/>
      <c r="E850" s="388"/>
      <c r="F850" s="388"/>
      <c r="G850" s="388"/>
      <c r="H850" s="388"/>
      <c r="I850" s="388"/>
      <c r="J850" s="388"/>
      <c r="K850" s="388"/>
      <c r="L850" s="388"/>
      <c r="M850" s="388"/>
      <c r="N850" s="388"/>
      <c r="O850" s="388"/>
      <c r="P850" s="388"/>
      <c r="Q850" s="388"/>
      <c r="R850" s="388"/>
      <c r="S850" s="388"/>
      <c r="T850" s="388"/>
      <c r="U850" s="388"/>
      <c r="V850" s="388"/>
      <c r="AA850" s="256"/>
    </row>
    <row r="851">
      <c r="A851" s="388"/>
      <c r="B851" s="388"/>
      <c r="C851" s="388"/>
      <c r="D851" s="388"/>
      <c r="E851" s="388"/>
      <c r="F851" s="388"/>
      <c r="G851" s="388"/>
      <c r="H851" s="388"/>
      <c r="I851" s="388"/>
      <c r="J851" s="388"/>
      <c r="K851" s="388"/>
      <c r="L851" s="388"/>
      <c r="M851" s="388"/>
      <c r="N851" s="388"/>
      <c r="O851" s="388"/>
      <c r="P851" s="388"/>
      <c r="Q851" s="388"/>
      <c r="R851" s="388"/>
      <c r="S851" s="388"/>
      <c r="T851" s="388"/>
      <c r="U851" s="388"/>
      <c r="V851" s="388"/>
      <c r="AA851" s="256"/>
    </row>
    <row r="852">
      <c r="A852" s="388"/>
      <c r="B852" s="388"/>
      <c r="C852" s="388"/>
      <c r="D852" s="388"/>
      <c r="E852" s="388"/>
      <c r="F852" s="388"/>
      <c r="G852" s="388"/>
      <c r="H852" s="388"/>
      <c r="I852" s="388"/>
      <c r="J852" s="388"/>
      <c r="K852" s="388"/>
      <c r="L852" s="388"/>
      <c r="M852" s="388"/>
      <c r="N852" s="388"/>
      <c r="O852" s="388"/>
      <c r="P852" s="388"/>
      <c r="Q852" s="388"/>
      <c r="R852" s="388"/>
      <c r="S852" s="388"/>
      <c r="T852" s="388"/>
      <c r="U852" s="388"/>
      <c r="V852" s="388"/>
      <c r="AA852" s="256"/>
    </row>
    <row r="853">
      <c r="A853" s="388"/>
      <c r="B853" s="388"/>
      <c r="C853" s="388"/>
      <c r="D853" s="388"/>
      <c r="E853" s="388"/>
      <c r="F853" s="388"/>
      <c r="G853" s="388"/>
      <c r="H853" s="388"/>
      <c r="I853" s="388"/>
      <c r="J853" s="388"/>
      <c r="K853" s="388"/>
      <c r="L853" s="388"/>
      <c r="M853" s="388"/>
      <c r="N853" s="388"/>
      <c r="O853" s="388"/>
      <c r="P853" s="388"/>
      <c r="Q853" s="388"/>
      <c r="R853" s="388"/>
      <c r="S853" s="388"/>
      <c r="T853" s="388"/>
      <c r="U853" s="388"/>
      <c r="V853" s="388"/>
      <c r="AA853" s="256"/>
    </row>
    <row r="854">
      <c r="A854" s="388"/>
      <c r="B854" s="388"/>
      <c r="C854" s="388"/>
      <c r="D854" s="388"/>
      <c r="E854" s="388"/>
      <c r="F854" s="388"/>
      <c r="G854" s="388"/>
      <c r="H854" s="388"/>
      <c r="I854" s="388"/>
      <c r="J854" s="388"/>
      <c r="K854" s="388"/>
      <c r="L854" s="388"/>
      <c r="M854" s="388"/>
      <c r="N854" s="388"/>
      <c r="O854" s="388"/>
      <c r="P854" s="388"/>
      <c r="Q854" s="388"/>
      <c r="R854" s="388"/>
      <c r="S854" s="388"/>
      <c r="T854" s="388"/>
      <c r="U854" s="388"/>
      <c r="V854" s="388"/>
      <c r="AA854" s="256"/>
    </row>
    <row r="855">
      <c r="A855" s="388"/>
      <c r="B855" s="388"/>
      <c r="C855" s="388"/>
      <c r="D855" s="388"/>
      <c r="E855" s="388"/>
      <c r="F855" s="388"/>
      <c r="G855" s="388"/>
      <c r="H855" s="388"/>
      <c r="I855" s="388"/>
      <c r="J855" s="388"/>
      <c r="K855" s="388"/>
      <c r="L855" s="388"/>
      <c r="M855" s="388"/>
      <c r="N855" s="388"/>
      <c r="O855" s="388"/>
      <c r="P855" s="388"/>
      <c r="Q855" s="388"/>
      <c r="R855" s="388"/>
      <c r="S855" s="388"/>
      <c r="T855" s="388"/>
      <c r="U855" s="388"/>
      <c r="V855" s="388"/>
      <c r="AA855" s="256"/>
    </row>
    <row r="856">
      <c r="A856" s="388"/>
      <c r="B856" s="388"/>
      <c r="C856" s="388"/>
      <c r="D856" s="388"/>
      <c r="E856" s="388"/>
      <c r="F856" s="388"/>
      <c r="G856" s="388"/>
      <c r="H856" s="388"/>
      <c r="I856" s="388"/>
      <c r="J856" s="388"/>
      <c r="K856" s="388"/>
      <c r="L856" s="388"/>
      <c r="M856" s="388"/>
      <c r="N856" s="388"/>
      <c r="O856" s="388"/>
      <c r="P856" s="388"/>
      <c r="Q856" s="388"/>
      <c r="R856" s="388"/>
      <c r="S856" s="388"/>
      <c r="T856" s="388"/>
      <c r="U856" s="388"/>
      <c r="V856" s="388"/>
      <c r="AA856" s="256"/>
    </row>
    <row r="857">
      <c r="A857" s="388"/>
      <c r="B857" s="388"/>
      <c r="C857" s="388"/>
      <c r="D857" s="388"/>
      <c r="E857" s="388"/>
      <c r="F857" s="388"/>
      <c r="G857" s="388"/>
      <c r="H857" s="388"/>
      <c r="I857" s="388"/>
      <c r="J857" s="388"/>
      <c r="K857" s="388"/>
      <c r="L857" s="388"/>
      <c r="M857" s="388"/>
      <c r="N857" s="388"/>
      <c r="O857" s="388"/>
      <c r="P857" s="388"/>
      <c r="Q857" s="388"/>
      <c r="R857" s="388"/>
      <c r="S857" s="388"/>
      <c r="T857" s="388"/>
      <c r="U857" s="388"/>
      <c r="V857" s="388"/>
      <c r="AA857" s="256"/>
    </row>
    <row r="858">
      <c r="A858" s="388"/>
      <c r="B858" s="388"/>
      <c r="C858" s="388"/>
      <c r="D858" s="388"/>
      <c r="E858" s="388"/>
      <c r="F858" s="388"/>
      <c r="G858" s="388"/>
      <c r="H858" s="388"/>
      <c r="I858" s="388"/>
      <c r="J858" s="388"/>
      <c r="K858" s="388"/>
      <c r="L858" s="388"/>
      <c r="M858" s="388"/>
      <c r="N858" s="388"/>
      <c r="O858" s="388"/>
      <c r="P858" s="388"/>
      <c r="Q858" s="388"/>
      <c r="R858" s="388"/>
      <c r="S858" s="388"/>
      <c r="T858" s="388"/>
      <c r="U858" s="388"/>
      <c r="V858" s="388"/>
      <c r="AA858" s="256"/>
    </row>
    <row r="859">
      <c r="A859" s="388"/>
      <c r="B859" s="388"/>
      <c r="C859" s="388"/>
      <c r="D859" s="388"/>
      <c r="E859" s="388"/>
      <c r="F859" s="388"/>
      <c r="G859" s="388"/>
      <c r="H859" s="388"/>
      <c r="I859" s="388"/>
      <c r="J859" s="388"/>
      <c r="K859" s="388"/>
      <c r="L859" s="388"/>
      <c r="M859" s="388"/>
      <c r="N859" s="388"/>
      <c r="O859" s="388"/>
      <c r="P859" s="388"/>
      <c r="Q859" s="388"/>
      <c r="R859" s="388"/>
      <c r="S859" s="388"/>
      <c r="T859" s="388"/>
      <c r="U859" s="388"/>
      <c r="V859" s="388"/>
      <c r="AA859" s="256"/>
    </row>
    <row r="860">
      <c r="A860" s="388"/>
      <c r="B860" s="388"/>
      <c r="C860" s="388"/>
      <c r="D860" s="388"/>
      <c r="E860" s="388"/>
      <c r="F860" s="388"/>
      <c r="G860" s="388"/>
      <c r="H860" s="388"/>
      <c r="I860" s="388"/>
      <c r="J860" s="388"/>
      <c r="K860" s="388"/>
      <c r="L860" s="388"/>
      <c r="M860" s="388"/>
      <c r="N860" s="388"/>
      <c r="O860" s="388"/>
      <c r="P860" s="388"/>
      <c r="Q860" s="388"/>
      <c r="R860" s="388"/>
      <c r="S860" s="388"/>
      <c r="T860" s="388"/>
      <c r="U860" s="388"/>
      <c r="V860" s="388"/>
      <c r="AA860" s="256"/>
    </row>
    <row r="861">
      <c r="A861" s="388"/>
      <c r="B861" s="388"/>
      <c r="C861" s="388"/>
      <c r="D861" s="388"/>
      <c r="E861" s="388"/>
      <c r="F861" s="388"/>
      <c r="G861" s="388"/>
      <c r="H861" s="388"/>
      <c r="I861" s="388"/>
      <c r="J861" s="388"/>
      <c r="K861" s="388"/>
      <c r="L861" s="388"/>
      <c r="M861" s="388"/>
      <c r="N861" s="388"/>
      <c r="O861" s="388"/>
      <c r="P861" s="388"/>
      <c r="Q861" s="388"/>
      <c r="R861" s="388"/>
      <c r="S861" s="388"/>
      <c r="T861" s="388"/>
      <c r="U861" s="388"/>
      <c r="V861" s="388"/>
      <c r="AA861" s="256"/>
    </row>
    <row r="862">
      <c r="A862" s="388"/>
      <c r="B862" s="388"/>
      <c r="C862" s="388"/>
      <c r="D862" s="388"/>
      <c r="E862" s="388"/>
      <c r="F862" s="388"/>
      <c r="G862" s="388"/>
      <c r="H862" s="388"/>
      <c r="I862" s="388"/>
      <c r="J862" s="388"/>
      <c r="K862" s="388"/>
      <c r="L862" s="388"/>
      <c r="M862" s="388"/>
      <c r="N862" s="388"/>
      <c r="O862" s="388"/>
      <c r="P862" s="388"/>
      <c r="Q862" s="388"/>
      <c r="R862" s="388"/>
      <c r="S862" s="388"/>
      <c r="T862" s="388"/>
      <c r="U862" s="388"/>
      <c r="V862" s="388"/>
      <c r="AA862" s="256"/>
    </row>
    <row r="863">
      <c r="A863" s="388"/>
      <c r="B863" s="388"/>
      <c r="C863" s="388"/>
      <c r="D863" s="388"/>
      <c r="E863" s="388"/>
      <c r="F863" s="388"/>
      <c r="G863" s="388"/>
      <c r="H863" s="388"/>
      <c r="I863" s="388"/>
      <c r="J863" s="388"/>
      <c r="K863" s="388"/>
      <c r="L863" s="388"/>
      <c r="M863" s="388"/>
      <c r="N863" s="388"/>
      <c r="O863" s="388"/>
      <c r="P863" s="388"/>
      <c r="Q863" s="388"/>
      <c r="R863" s="388"/>
      <c r="S863" s="388"/>
      <c r="T863" s="388"/>
      <c r="U863" s="388"/>
      <c r="V863" s="388"/>
      <c r="AA863" s="256"/>
    </row>
    <row r="864">
      <c r="A864" s="388"/>
      <c r="B864" s="388"/>
      <c r="C864" s="388"/>
      <c r="D864" s="388"/>
      <c r="E864" s="388"/>
      <c r="F864" s="388"/>
      <c r="G864" s="388"/>
      <c r="H864" s="388"/>
      <c r="I864" s="388"/>
      <c r="J864" s="388"/>
      <c r="K864" s="388"/>
      <c r="L864" s="388"/>
      <c r="M864" s="388"/>
      <c r="N864" s="388"/>
      <c r="O864" s="388"/>
      <c r="P864" s="388"/>
      <c r="Q864" s="388"/>
      <c r="R864" s="388"/>
      <c r="S864" s="388"/>
      <c r="T864" s="388"/>
      <c r="U864" s="388"/>
      <c r="V864" s="388"/>
      <c r="AA864" s="256"/>
    </row>
    <row r="865">
      <c r="A865" s="388"/>
      <c r="B865" s="388"/>
      <c r="C865" s="388"/>
      <c r="D865" s="388"/>
      <c r="E865" s="388"/>
      <c r="F865" s="388"/>
      <c r="G865" s="388"/>
      <c r="H865" s="388"/>
      <c r="I865" s="388"/>
      <c r="J865" s="388"/>
      <c r="K865" s="388"/>
      <c r="L865" s="388"/>
      <c r="M865" s="388"/>
      <c r="N865" s="388"/>
      <c r="O865" s="388"/>
      <c r="P865" s="388"/>
      <c r="Q865" s="388"/>
      <c r="R865" s="388"/>
      <c r="S865" s="388"/>
      <c r="T865" s="388"/>
      <c r="U865" s="388"/>
      <c r="V865" s="388"/>
      <c r="AA865" s="256"/>
    </row>
    <row r="866">
      <c r="A866" s="388"/>
      <c r="B866" s="388"/>
      <c r="C866" s="388"/>
      <c r="D866" s="388"/>
      <c r="E866" s="388"/>
      <c r="F866" s="388"/>
      <c r="G866" s="388"/>
      <c r="H866" s="388"/>
      <c r="I866" s="388"/>
      <c r="J866" s="388"/>
      <c r="K866" s="388"/>
      <c r="L866" s="388"/>
      <c r="M866" s="388"/>
      <c r="N866" s="388"/>
      <c r="O866" s="388"/>
      <c r="P866" s="388"/>
      <c r="Q866" s="388"/>
      <c r="R866" s="388"/>
      <c r="S866" s="388"/>
      <c r="T866" s="388"/>
      <c r="U866" s="388"/>
      <c r="V866" s="388"/>
      <c r="AA866" s="256"/>
    </row>
    <row r="867">
      <c r="A867" s="388"/>
      <c r="B867" s="388"/>
      <c r="C867" s="388"/>
      <c r="D867" s="388"/>
      <c r="E867" s="388"/>
      <c r="F867" s="388"/>
      <c r="G867" s="388"/>
      <c r="H867" s="388"/>
      <c r="I867" s="388"/>
      <c r="J867" s="388"/>
      <c r="K867" s="388"/>
      <c r="L867" s="388"/>
      <c r="M867" s="388"/>
      <c r="N867" s="388"/>
      <c r="O867" s="388"/>
      <c r="P867" s="388"/>
      <c r="Q867" s="388"/>
      <c r="R867" s="388"/>
      <c r="S867" s="388"/>
      <c r="T867" s="388"/>
      <c r="U867" s="388"/>
      <c r="V867" s="388"/>
      <c r="AA867" s="256"/>
    </row>
    <row r="868">
      <c r="A868" s="388"/>
      <c r="B868" s="388"/>
      <c r="C868" s="388"/>
      <c r="D868" s="388"/>
      <c r="E868" s="388"/>
      <c r="F868" s="388"/>
      <c r="G868" s="388"/>
      <c r="H868" s="388"/>
      <c r="I868" s="388"/>
      <c r="J868" s="388"/>
      <c r="K868" s="388"/>
      <c r="L868" s="388"/>
      <c r="M868" s="388"/>
      <c r="N868" s="388"/>
      <c r="O868" s="388"/>
      <c r="P868" s="388"/>
      <c r="Q868" s="388"/>
      <c r="R868" s="388"/>
      <c r="S868" s="388"/>
      <c r="T868" s="388"/>
      <c r="U868" s="388"/>
      <c r="V868" s="388"/>
      <c r="AA868" s="256"/>
    </row>
    <row r="869">
      <c r="A869" s="388"/>
      <c r="B869" s="388"/>
      <c r="C869" s="388"/>
      <c r="D869" s="388"/>
      <c r="E869" s="388"/>
      <c r="F869" s="388"/>
      <c r="G869" s="388"/>
      <c r="H869" s="388"/>
      <c r="I869" s="388"/>
      <c r="J869" s="388"/>
      <c r="K869" s="388"/>
      <c r="L869" s="388"/>
      <c r="M869" s="388"/>
      <c r="N869" s="388"/>
      <c r="O869" s="388"/>
      <c r="P869" s="388"/>
      <c r="Q869" s="388"/>
      <c r="R869" s="388"/>
      <c r="S869" s="388"/>
      <c r="T869" s="388"/>
      <c r="U869" s="388"/>
      <c r="V869" s="388"/>
      <c r="AA869" s="256"/>
    </row>
    <row r="870">
      <c r="A870" s="388"/>
      <c r="B870" s="388"/>
      <c r="C870" s="388"/>
      <c r="D870" s="388"/>
      <c r="E870" s="388"/>
      <c r="F870" s="388"/>
      <c r="G870" s="388"/>
      <c r="H870" s="388"/>
      <c r="I870" s="388"/>
      <c r="J870" s="388"/>
      <c r="K870" s="388"/>
      <c r="L870" s="388"/>
      <c r="M870" s="388"/>
      <c r="N870" s="388"/>
      <c r="O870" s="388"/>
      <c r="P870" s="388"/>
      <c r="Q870" s="388"/>
      <c r="R870" s="388"/>
      <c r="S870" s="388"/>
      <c r="T870" s="388"/>
      <c r="U870" s="388"/>
      <c r="V870" s="388"/>
      <c r="AA870" s="256"/>
    </row>
    <row r="871">
      <c r="A871" s="388"/>
      <c r="B871" s="388"/>
      <c r="C871" s="388"/>
      <c r="D871" s="388"/>
      <c r="E871" s="388"/>
      <c r="F871" s="388"/>
      <c r="G871" s="388"/>
      <c r="H871" s="388"/>
      <c r="I871" s="388"/>
      <c r="J871" s="388"/>
      <c r="K871" s="388"/>
      <c r="L871" s="388"/>
      <c r="M871" s="388"/>
      <c r="N871" s="388"/>
      <c r="O871" s="388"/>
      <c r="P871" s="388"/>
      <c r="Q871" s="388"/>
      <c r="R871" s="388"/>
      <c r="S871" s="388"/>
      <c r="T871" s="388"/>
      <c r="U871" s="388"/>
      <c r="V871" s="388"/>
      <c r="AA871" s="256"/>
    </row>
    <row r="872">
      <c r="A872" s="388"/>
      <c r="B872" s="388"/>
      <c r="C872" s="388"/>
      <c r="D872" s="388"/>
      <c r="E872" s="388"/>
      <c r="F872" s="388"/>
      <c r="G872" s="388"/>
      <c r="H872" s="388"/>
      <c r="I872" s="388"/>
      <c r="J872" s="388"/>
      <c r="K872" s="388"/>
      <c r="L872" s="388"/>
      <c r="M872" s="388"/>
      <c r="N872" s="388"/>
      <c r="O872" s="388"/>
      <c r="P872" s="388"/>
      <c r="Q872" s="388"/>
      <c r="R872" s="388"/>
      <c r="S872" s="388"/>
      <c r="T872" s="388"/>
      <c r="U872" s="388"/>
      <c r="V872" s="388"/>
      <c r="AA872" s="256"/>
    </row>
    <row r="873">
      <c r="A873" s="388"/>
      <c r="B873" s="388"/>
      <c r="C873" s="388"/>
      <c r="D873" s="388"/>
      <c r="E873" s="388"/>
      <c r="F873" s="388"/>
      <c r="G873" s="388"/>
      <c r="H873" s="388"/>
      <c r="I873" s="388"/>
      <c r="J873" s="388"/>
      <c r="K873" s="388"/>
      <c r="L873" s="388"/>
      <c r="M873" s="388"/>
      <c r="N873" s="388"/>
      <c r="O873" s="388"/>
      <c r="P873" s="388"/>
      <c r="Q873" s="388"/>
      <c r="R873" s="388"/>
      <c r="S873" s="388"/>
      <c r="T873" s="388"/>
      <c r="U873" s="388"/>
      <c r="V873" s="388"/>
      <c r="AA873" s="256"/>
    </row>
    <row r="874">
      <c r="A874" s="388"/>
      <c r="B874" s="388"/>
      <c r="C874" s="388"/>
      <c r="D874" s="388"/>
      <c r="E874" s="388"/>
      <c r="F874" s="388"/>
      <c r="G874" s="388"/>
      <c r="H874" s="388"/>
      <c r="I874" s="388"/>
      <c r="J874" s="388"/>
      <c r="K874" s="388"/>
      <c r="L874" s="388"/>
      <c r="M874" s="388"/>
      <c r="N874" s="388"/>
      <c r="O874" s="388"/>
      <c r="P874" s="388"/>
      <c r="Q874" s="388"/>
      <c r="R874" s="388"/>
      <c r="S874" s="388"/>
      <c r="T874" s="388"/>
      <c r="U874" s="388"/>
      <c r="V874" s="388"/>
      <c r="AA874" s="256"/>
    </row>
    <row r="875">
      <c r="A875" s="388"/>
      <c r="B875" s="388"/>
      <c r="C875" s="388"/>
      <c r="D875" s="388"/>
      <c r="E875" s="388"/>
      <c r="F875" s="388"/>
      <c r="G875" s="388"/>
      <c r="H875" s="388"/>
      <c r="I875" s="388"/>
      <c r="J875" s="388"/>
      <c r="K875" s="388"/>
      <c r="L875" s="388"/>
      <c r="M875" s="388"/>
      <c r="N875" s="388"/>
      <c r="O875" s="388"/>
      <c r="P875" s="388"/>
      <c r="Q875" s="388"/>
      <c r="R875" s="388"/>
      <c r="S875" s="388"/>
      <c r="T875" s="388"/>
      <c r="U875" s="388"/>
      <c r="V875" s="388"/>
      <c r="AA875" s="256"/>
    </row>
    <row r="876">
      <c r="A876" s="388"/>
      <c r="B876" s="388"/>
      <c r="C876" s="388"/>
      <c r="D876" s="388"/>
      <c r="E876" s="388"/>
      <c r="F876" s="388"/>
      <c r="G876" s="388"/>
      <c r="H876" s="388"/>
      <c r="I876" s="388"/>
      <c r="J876" s="388"/>
      <c r="K876" s="388"/>
      <c r="L876" s="388"/>
      <c r="M876" s="388"/>
      <c r="N876" s="388"/>
      <c r="O876" s="388"/>
      <c r="P876" s="388"/>
      <c r="Q876" s="388"/>
      <c r="R876" s="388"/>
      <c r="S876" s="388"/>
      <c r="T876" s="388"/>
      <c r="U876" s="388"/>
      <c r="V876" s="388"/>
      <c r="AA876" s="256"/>
    </row>
    <row r="877">
      <c r="A877" s="388"/>
      <c r="B877" s="388"/>
      <c r="C877" s="388"/>
      <c r="D877" s="388"/>
      <c r="E877" s="388"/>
      <c r="F877" s="388"/>
      <c r="G877" s="388"/>
      <c r="H877" s="388"/>
      <c r="I877" s="388"/>
      <c r="J877" s="388"/>
      <c r="K877" s="388"/>
      <c r="L877" s="388"/>
      <c r="M877" s="388"/>
      <c r="N877" s="388"/>
      <c r="O877" s="388"/>
      <c r="P877" s="388"/>
      <c r="Q877" s="388"/>
      <c r="R877" s="388"/>
      <c r="S877" s="388"/>
      <c r="T877" s="388"/>
      <c r="U877" s="388"/>
      <c r="V877" s="388"/>
      <c r="AA877" s="256"/>
    </row>
    <row r="878">
      <c r="A878" s="388"/>
      <c r="B878" s="388"/>
      <c r="C878" s="388"/>
      <c r="D878" s="388"/>
      <c r="E878" s="388"/>
      <c r="F878" s="388"/>
      <c r="G878" s="388"/>
      <c r="H878" s="388"/>
      <c r="I878" s="388"/>
      <c r="J878" s="388"/>
      <c r="K878" s="388"/>
      <c r="L878" s="388"/>
      <c r="M878" s="388"/>
      <c r="N878" s="388"/>
      <c r="O878" s="388"/>
      <c r="P878" s="388"/>
      <c r="Q878" s="388"/>
      <c r="R878" s="388"/>
      <c r="S878" s="388"/>
      <c r="T878" s="388"/>
      <c r="U878" s="388"/>
      <c r="V878" s="388"/>
      <c r="AA878" s="256"/>
    </row>
    <row r="879">
      <c r="A879" s="388"/>
      <c r="B879" s="388"/>
      <c r="C879" s="388"/>
      <c r="D879" s="388"/>
      <c r="E879" s="388"/>
      <c r="F879" s="388"/>
      <c r="G879" s="388"/>
      <c r="H879" s="388"/>
      <c r="I879" s="388"/>
      <c r="J879" s="388"/>
      <c r="K879" s="388"/>
      <c r="L879" s="388"/>
      <c r="M879" s="388"/>
      <c r="N879" s="388"/>
      <c r="O879" s="388"/>
      <c r="P879" s="388"/>
      <c r="Q879" s="388"/>
      <c r="R879" s="388"/>
      <c r="S879" s="388"/>
      <c r="T879" s="388"/>
      <c r="U879" s="388"/>
      <c r="V879" s="388"/>
      <c r="AA879" s="256"/>
    </row>
    <row r="880">
      <c r="A880" s="388"/>
      <c r="B880" s="388"/>
      <c r="C880" s="388"/>
      <c r="D880" s="388"/>
      <c r="E880" s="388"/>
      <c r="F880" s="388"/>
      <c r="G880" s="388"/>
      <c r="H880" s="388"/>
      <c r="I880" s="388"/>
      <c r="J880" s="388"/>
      <c r="K880" s="388"/>
      <c r="L880" s="388"/>
      <c r="M880" s="388"/>
      <c r="N880" s="388"/>
      <c r="O880" s="388"/>
      <c r="P880" s="388"/>
      <c r="Q880" s="388"/>
      <c r="R880" s="388"/>
      <c r="S880" s="388"/>
      <c r="T880" s="388"/>
      <c r="U880" s="388"/>
      <c r="V880" s="388"/>
      <c r="AA880" s="256"/>
    </row>
    <row r="881">
      <c r="A881" s="388"/>
      <c r="B881" s="388"/>
      <c r="C881" s="388"/>
      <c r="D881" s="388"/>
      <c r="E881" s="388"/>
      <c r="F881" s="388"/>
      <c r="G881" s="388"/>
      <c r="H881" s="388"/>
      <c r="I881" s="388"/>
      <c r="J881" s="388"/>
      <c r="K881" s="388"/>
      <c r="L881" s="388"/>
      <c r="M881" s="388"/>
      <c r="N881" s="388"/>
      <c r="O881" s="388"/>
      <c r="P881" s="388"/>
      <c r="Q881" s="388"/>
      <c r="R881" s="388"/>
      <c r="S881" s="388"/>
      <c r="T881" s="388"/>
      <c r="U881" s="388"/>
      <c r="V881" s="388"/>
      <c r="AA881" s="256"/>
    </row>
    <row r="882">
      <c r="A882" s="388"/>
      <c r="B882" s="388"/>
      <c r="C882" s="388"/>
      <c r="D882" s="388"/>
      <c r="E882" s="388"/>
      <c r="F882" s="388"/>
      <c r="G882" s="388"/>
      <c r="H882" s="388"/>
      <c r="I882" s="388"/>
      <c r="J882" s="388"/>
      <c r="K882" s="388"/>
      <c r="L882" s="388"/>
      <c r="M882" s="388"/>
      <c r="N882" s="388"/>
      <c r="O882" s="388"/>
      <c r="P882" s="388"/>
      <c r="Q882" s="388"/>
      <c r="R882" s="388"/>
      <c r="S882" s="388"/>
      <c r="T882" s="388"/>
      <c r="U882" s="388"/>
      <c r="V882" s="388"/>
      <c r="AA882" s="256"/>
    </row>
    <row r="883">
      <c r="A883" s="388"/>
      <c r="B883" s="388"/>
      <c r="C883" s="388"/>
      <c r="D883" s="388"/>
      <c r="E883" s="388"/>
      <c r="F883" s="388"/>
      <c r="G883" s="388"/>
      <c r="H883" s="388"/>
      <c r="I883" s="388"/>
      <c r="J883" s="388"/>
      <c r="K883" s="388"/>
      <c r="L883" s="388"/>
      <c r="M883" s="388"/>
      <c r="N883" s="388"/>
      <c r="O883" s="388"/>
      <c r="P883" s="388"/>
      <c r="Q883" s="388"/>
      <c r="R883" s="388"/>
      <c r="S883" s="388"/>
      <c r="T883" s="388"/>
      <c r="U883" s="388"/>
      <c r="V883" s="388"/>
      <c r="AA883" s="256"/>
    </row>
    <row r="884">
      <c r="A884" s="388"/>
      <c r="B884" s="388"/>
      <c r="C884" s="388"/>
      <c r="D884" s="388"/>
      <c r="E884" s="388"/>
      <c r="F884" s="388"/>
      <c r="G884" s="388"/>
      <c r="H884" s="388"/>
      <c r="I884" s="388"/>
      <c r="J884" s="388"/>
      <c r="K884" s="388"/>
      <c r="L884" s="388"/>
      <c r="M884" s="388"/>
      <c r="N884" s="388"/>
      <c r="O884" s="388"/>
      <c r="P884" s="388"/>
      <c r="Q884" s="388"/>
      <c r="R884" s="388"/>
      <c r="S884" s="388"/>
      <c r="T884" s="388"/>
      <c r="U884" s="388"/>
      <c r="V884" s="388"/>
      <c r="AA884" s="256"/>
    </row>
    <row r="885">
      <c r="A885" s="388"/>
      <c r="B885" s="388"/>
      <c r="C885" s="388"/>
      <c r="D885" s="388"/>
      <c r="E885" s="388"/>
      <c r="F885" s="388"/>
      <c r="G885" s="388"/>
      <c r="H885" s="388"/>
      <c r="I885" s="388"/>
      <c r="J885" s="388"/>
      <c r="K885" s="388"/>
      <c r="L885" s="388"/>
      <c r="M885" s="388"/>
      <c r="N885" s="388"/>
      <c r="O885" s="388"/>
      <c r="P885" s="388"/>
      <c r="Q885" s="388"/>
      <c r="R885" s="388"/>
      <c r="S885" s="388"/>
      <c r="T885" s="388"/>
      <c r="U885" s="388"/>
      <c r="V885" s="388"/>
      <c r="AA885" s="256"/>
    </row>
    <row r="886">
      <c r="A886" s="388"/>
      <c r="B886" s="388"/>
      <c r="C886" s="388"/>
      <c r="D886" s="388"/>
      <c r="E886" s="388"/>
      <c r="F886" s="388"/>
      <c r="G886" s="388"/>
      <c r="H886" s="388"/>
      <c r="I886" s="388"/>
      <c r="J886" s="388"/>
      <c r="K886" s="388"/>
      <c r="L886" s="388"/>
      <c r="M886" s="388"/>
      <c r="N886" s="388"/>
      <c r="O886" s="388"/>
      <c r="P886" s="388"/>
      <c r="Q886" s="388"/>
      <c r="R886" s="388"/>
      <c r="S886" s="388"/>
      <c r="T886" s="388"/>
      <c r="U886" s="388"/>
      <c r="V886" s="388"/>
      <c r="AA886" s="256"/>
    </row>
    <row r="887">
      <c r="A887" s="388"/>
      <c r="B887" s="388"/>
      <c r="C887" s="388"/>
      <c r="D887" s="388"/>
      <c r="E887" s="388"/>
      <c r="F887" s="388"/>
      <c r="G887" s="388"/>
      <c r="H887" s="388"/>
      <c r="I887" s="388"/>
      <c r="J887" s="388"/>
      <c r="K887" s="388"/>
      <c r="L887" s="388"/>
      <c r="M887" s="388"/>
      <c r="N887" s="388"/>
      <c r="O887" s="388"/>
      <c r="P887" s="388"/>
      <c r="Q887" s="388"/>
      <c r="R887" s="388"/>
      <c r="S887" s="388"/>
      <c r="T887" s="388"/>
      <c r="U887" s="388"/>
      <c r="V887" s="388"/>
      <c r="AA887" s="256"/>
    </row>
    <row r="888">
      <c r="A888" s="388"/>
      <c r="B888" s="388"/>
      <c r="C888" s="388"/>
      <c r="D888" s="388"/>
      <c r="E888" s="388"/>
      <c r="F888" s="388"/>
      <c r="G888" s="388"/>
      <c r="H888" s="388"/>
      <c r="I888" s="388"/>
      <c r="J888" s="388"/>
      <c r="K888" s="388"/>
      <c r="L888" s="388"/>
      <c r="M888" s="388"/>
      <c r="N888" s="388"/>
      <c r="O888" s="388"/>
      <c r="P888" s="388"/>
      <c r="Q888" s="388"/>
      <c r="R888" s="388"/>
      <c r="S888" s="388"/>
      <c r="T888" s="388"/>
      <c r="U888" s="388"/>
      <c r="V888" s="388"/>
      <c r="AA888" s="256"/>
    </row>
    <row r="889">
      <c r="A889" s="388"/>
      <c r="B889" s="388"/>
      <c r="C889" s="388"/>
      <c r="D889" s="388"/>
      <c r="E889" s="388"/>
      <c r="F889" s="388"/>
      <c r="G889" s="388"/>
      <c r="H889" s="388"/>
      <c r="I889" s="388"/>
      <c r="J889" s="388"/>
      <c r="K889" s="388"/>
      <c r="L889" s="388"/>
      <c r="M889" s="388"/>
      <c r="N889" s="388"/>
      <c r="O889" s="388"/>
      <c r="P889" s="388"/>
      <c r="Q889" s="388"/>
      <c r="R889" s="388"/>
      <c r="S889" s="388"/>
      <c r="T889" s="388"/>
      <c r="U889" s="388"/>
      <c r="V889" s="388"/>
      <c r="AA889" s="256"/>
    </row>
    <row r="890">
      <c r="A890" s="388"/>
      <c r="B890" s="388"/>
      <c r="C890" s="388"/>
      <c r="D890" s="388"/>
      <c r="E890" s="388"/>
      <c r="F890" s="388"/>
      <c r="G890" s="388"/>
      <c r="H890" s="388"/>
      <c r="I890" s="388"/>
      <c r="J890" s="388"/>
      <c r="K890" s="388"/>
      <c r="L890" s="388"/>
      <c r="M890" s="388"/>
      <c r="N890" s="388"/>
      <c r="O890" s="388"/>
      <c r="P890" s="388"/>
      <c r="Q890" s="388"/>
      <c r="R890" s="388"/>
      <c r="S890" s="388"/>
      <c r="T890" s="388"/>
      <c r="U890" s="388"/>
      <c r="V890" s="388"/>
      <c r="AA890" s="256"/>
    </row>
    <row r="891">
      <c r="A891" s="388"/>
      <c r="B891" s="388"/>
      <c r="C891" s="388"/>
      <c r="D891" s="388"/>
      <c r="E891" s="388"/>
      <c r="F891" s="388"/>
      <c r="G891" s="388"/>
      <c r="H891" s="388"/>
      <c r="I891" s="388"/>
      <c r="J891" s="388"/>
      <c r="K891" s="388"/>
      <c r="L891" s="388"/>
      <c r="M891" s="388"/>
      <c r="N891" s="388"/>
      <c r="O891" s="388"/>
      <c r="P891" s="388"/>
      <c r="Q891" s="388"/>
      <c r="R891" s="388"/>
      <c r="S891" s="388"/>
      <c r="T891" s="388"/>
      <c r="U891" s="388"/>
      <c r="V891" s="388"/>
      <c r="AA891" s="256"/>
    </row>
    <row r="892">
      <c r="A892" s="388"/>
      <c r="B892" s="388"/>
      <c r="C892" s="388"/>
      <c r="D892" s="388"/>
      <c r="E892" s="388"/>
      <c r="F892" s="388"/>
      <c r="G892" s="388"/>
      <c r="H892" s="388"/>
      <c r="I892" s="388"/>
      <c r="J892" s="388"/>
      <c r="K892" s="388"/>
      <c r="L892" s="388"/>
      <c r="M892" s="388"/>
      <c r="N892" s="388"/>
      <c r="O892" s="388"/>
      <c r="P892" s="388"/>
      <c r="Q892" s="388"/>
      <c r="R892" s="388"/>
      <c r="S892" s="388"/>
      <c r="T892" s="388"/>
      <c r="U892" s="388"/>
      <c r="V892" s="388"/>
      <c r="AA892" s="256"/>
    </row>
    <row r="893">
      <c r="A893" s="388"/>
      <c r="B893" s="388"/>
      <c r="C893" s="388"/>
      <c r="D893" s="388"/>
      <c r="E893" s="388"/>
      <c r="F893" s="388"/>
      <c r="G893" s="388"/>
      <c r="H893" s="388"/>
      <c r="I893" s="388"/>
      <c r="J893" s="388"/>
      <c r="K893" s="388"/>
      <c r="L893" s="388"/>
      <c r="M893" s="388"/>
      <c r="N893" s="388"/>
      <c r="O893" s="388"/>
      <c r="P893" s="388"/>
      <c r="Q893" s="388"/>
      <c r="R893" s="388"/>
      <c r="S893" s="388"/>
      <c r="T893" s="388"/>
      <c r="U893" s="388"/>
      <c r="V893" s="388"/>
      <c r="AA893" s="256"/>
    </row>
    <row r="894">
      <c r="A894" s="388"/>
      <c r="B894" s="388"/>
      <c r="C894" s="388"/>
      <c r="D894" s="388"/>
      <c r="E894" s="388"/>
      <c r="F894" s="388"/>
      <c r="G894" s="388"/>
      <c r="H894" s="388"/>
      <c r="I894" s="388"/>
      <c r="J894" s="388"/>
      <c r="K894" s="388"/>
      <c r="L894" s="388"/>
      <c r="M894" s="388"/>
      <c r="N894" s="388"/>
      <c r="O894" s="388"/>
      <c r="P894" s="388"/>
      <c r="Q894" s="388"/>
      <c r="R894" s="388"/>
      <c r="S894" s="388"/>
      <c r="T894" s="388"/>
      <c r="U894" s="388"/>
      <c r="V894" s="388"/>
      <c r="AA894" s="256"/>
    </row>
    <row r="895">
      <c r="A895" s="388"/>
      <c r="B895" s="388"/>
      <c r="C895" s="388"/>
      <c r="D895" s="388"/>
      <c r="E895" s="388"/>
      <c r="F895" s="388"/>
      <c r="G895" s="388"/>
      <c r="H895" s="388"/>
      <c r="I895" s="388"/>
      <c r="J895" s="388"/>
      <c r="K895" s="388"/>
      <c r="L895" s="388"/>
      <c r="M895" s="388"/>
      <c r="N895" s="388"/>
      <c r="O895" s="388"/>
      <c r="P895" s="388"/>
      <c r="Q895" s="388"/>
      <c r="R895" s="388"/>
      <c r="S895" s="388"/>
      <c r="T895" s="388"/>
      <c r="U895" s="388"/>
      <c r="V895" s="388"/>
      <c r="AA895" s="256"/>
    </row>
    <row r="896">
      <c r="A896" s="388"/>
      <c r="B896" s="388"/>
      <c r="C896" s="388"/>
      <c r="D896" s="388"/>
      <c r="E896" s="388"/>
      <c r="F896" s="388"/>
      <c r="G896" s="388"/>
      <c r="H896" s="388"/>
      <c r="I896" s="388"/>
      <c r="J896" s="388"/>
      <c r="K896" s="388"/>
      <c r="L896" s="388"/>
      <c r="M896" s="388"/>
      <c r="N896" s="388"/>
      <c r="O896" s="388"/>
      <c r="P896" s="388"/>
      <c r="Q896" s="388"/>
      <c r="R896" s="388"/>
      <c r="S896" s="388"/>
      <c r="T896" s="388"/>
      <c r="U896" s="388"/>
      <c r="V896" s="388"/>
      <c r="AA896" s="256"/>
    </row>
    <row r="897">
      <c r="A897" s="388"/>
      <c r="B897" s="388"/>
      <c r="C897" s="388"/>
      <c r="D897" s="388"/>
      <c r="E897" s="388"/>
      <c r="F897" s="388"/>
      <c r="G897" s="388"/>
      <c r="H897" s="388"/>
      <c r="I897" s="388"/>
      <c r="J897" s="388"/>
      <c r="K897" s="388"/>
      <c r="L897" s="388"/>
      <c r="M897" s="388"/>
      <c r="N897" s="388"/>
      <c r="O897" s="388"/>
      <c r="P897" s="388"/>
      <c r="Q897" s="388"/>
      <c r="R897" s="388"/>
      <c r="S897" s="388"/>
      <c r="T897" s="388"/>
      <c r="U897" s="388"/>
      <c r="V897" s="388"/>
      <c r="AA897" s="256"/>
    </row>
    <row r="898">
      <c r="A898" s="388"/>
      <c r="B898" s="388"/>
      <c r="C898" s="388"/>
      <c r="D898" s="388"/>
      <c r="E898" s="388"/>
      <c r="F898" s="388"/>
      <c r="G898" s="388"/>
      <c r="H898" s="388"/>
      <c r="I898" s="388"/>
      <c r="J898" s="388"/>
      <c r="K898" s="388"/>
      <c r="L898" s="388"/>
      <c r="M898" s="388"/>
      <c r="N898" s="388"/>
      <c r="O898" s="388"/>
      <c r="P898" s="388"/>
      <c r="Q898" s="388"/>
      <c r="R898" s="388"/>
      <c r="S898" s="388"/>
      <c r="T898" s="388"/>
      <c r="U898" s="388"/>
      <c r="V898" s="388"/>
      <c r="AA898" s="256"/>
    </row>
    <row r="899">
      <c r="A899" s="388"/>
      <c r="B899" s="388"/>
      <c r="C899" s="388"/>
      <c r="D899" s="388"/>
      <c r="E899" s="388"/>
      <c r="F899" s="388"/>
      <c r="G899" s="388"/>
      <c r="H899" s="388"/>
      <c r="I899" s="388"/>
      <c r="J899" s="388"/>
      <c r="K899" s="388"/>
      <c r="L899" s="388"/>
      <c r="M899" s="388"/>
      <c r="N899" s="388"/>
      <c r="O899" s="388"/>
      <c r="P899" s="388"/>
      <c r="Q899" s="388"/>
      <c r="R899" s="388"/>
      <c r="S899" s="388"/>
      <c r="T899" s="388"/>
      <c r="U899" s="388"/>
      <c r="V899" s="388"/>
      <c r="AA899" s="256"/>
    </row>
    <row r="900">
      <c r="A900" s="388"/>
      <c r="B900" s="388"/>
      <c r="C900" s="388"/>
      <c r="D900" s="388"/>
      <c r="E900" s="388"/>
      <c r="F900" s="388"/>
      <c r="G900" s="388"/>
      <c r="H900" s="388"/>
      <c r="I900" s="388"/>
      <c r="J900" s="388"/>
      <c r="K900" s="388"/>
      <c r="L900" s="388"/>
      <c r="M900" s="388"/>
      <c r="N900" s="388"/>
      <c r="O900" s="388"/>
      <c r="P900" s="388"/>
      <c r="Q900" s="388"/>
      <c r="R900" s="388"/>
      <c r="S900" s="388"/>
      <c r="T900" s="388"/>
      <c r="U900" s="388"/>
      <c r="V900" s="388"/>
      <c r="AA900" s="256"/>
    </row>
    <row r="901">
      <c r="A901" s="388"/>
      <c r="B901" s="388"/>
      <c r="C901" s="388"/>
      <c r="D901" s="388"/>
      <c r="E901" s="388"/>
      <c r="F901" s="388"/>
      <c r="G901" s="388"/>
      <c r="H901" s="388"/>
      <c r="I901" s="388"/>
      <c r="J901" s="388"/>
      <c r="K901" s="388"/>
      <c r="L901" s="388"/>
      <c r="M901" s="388"/>
      <c r="N901" s="388"/>
      <c r="O901" s="388"/>
      <c r="P901" s="388"/>
      <c r="Q901" s="388"/>
      <c r="R901" s="388"/>
      <c r="S901" s="388"/>
      <c r="T901" s="388"/>
      <c r="U901" s="388"/>
      <c r="V901" s="388"/>
      <c r="AA901" s="256"/>
    </row>
    <row r="902">
      <c r="A902" s="388"/>
      <c r="B902" s="388"/>
      <c r="C902" s="388"/>
      <c r="D902" s="388"/>
      <c r="E902" s="388"/>
      <c r="F902" s="388"/>
      <c r="G902" s="388"/>
      <c r="H902" s="388"/>
      <c r="I902" s="388"/>
      <c r="J902" s="388"/>
      <c r="K902" s="388"/>
      <c r="L902" s="388"/>
      <c r="M902" s="388"/>
      <c r="N902" s="388"/>
      <c r="O902" s="388"/>
      <c r="P902" s="388"/>
      <c r="Q902" s="388"/>
      <c r="R902" s="388"/>
      <c r="S902" s="388"/>
      <c r="T902" s="388"/>
      <c r="U902" s="388"/>
      <c r="V902" s="388"/>
      <c r="AA902" s="256"/>
    </row>
    <row r="903">
      <c r="A903" s="388"/>
      <c r="B903" s="388"/>
      <c r="C903" s="388"/>
      <c r="D903" s="388"/>
      <c r="E903" s="388"/>
      <c r="F903" s="388"/>
      <c r="G903" s="388"/>
      <c r="H903" s="388"/>
      <c r="I903" s="388"/>
      <c r="J903" s="388"/>
      <c r="K903" s="388"/>
      <c r="L903" s="388"/>
      <c r="M903" s="388"/>
      <c r="N903" s="388"/>
      <c r="O903" s="388"/>
      <c r="P903" s="388"/>
      <c r="Q903" s="388"/>
      <c r="R903" s="388"/>
      <c r="S903" s="388"/>
      <c r="T903" s="388"/>
      <c r="U903" s="388"/>
      <c r="V903" s="388"/>
      <c r="AA903" s="256"/>
    </row>
    <row r="904">
      <c r="A904" s="388"/>
      <c r="B904" s="388"/>
      <c r="C904" s="388"/>
      <c r="D904" s="388"/>
      <c r="E904" s="388"/>
      <c r="F904" s="388"/>
      <c r="G904" s="388"/>
      <c r="H904" s="388"/>
      <c r="I904" s="388"/>
      <c r="J904" s="388"/>
      <c r="K904" s="388"/>
      <c r="L904" s="388"/>
      <c r="M904" s="388"/>
      <c r="N904" s="388"/>
      <c r="O904" s="388"/>
      <c r="P904" s="388"/>
      <c r="Q904" s="388"/>
      <c r="R904" s="388"/>
      <c r="S904" s="388"/>
      <c r="T904" s="388"/>
      <c r="U904" s="388"/>
      <c r="V904" s="388"/>
      <c r="AA904" s="256"/>
    </row>
    <row r="905">
      <c r="A905" s="388"/>
      <c r="B905" s="388"/>
      <c r="C905" s="388"/>
      <c r="D905" s="388"/>
      <c r="E905" s="388"/>
      <c r="F905" s="388"/>
      <c r="G905" s="388"/>
      <c r="H905" s="388"/>
      <c r="I905" s="388"/>
      <c r="J905" s="388"/>
      <c r="K905" s="388"/>
      <c r="L905" s="388"/>
      <c r="M905" s="388"/>
      <c r="N905" s="388"/>
      <c r="O905" s="388"/>
      <c r="P905" s="388"/>
      <c r="Q905" s="388"/>
      <c r="R905" s="388"/>
      <c r="S905" s="388"/>
      <c r="T905" s="388"/>
      <c r="U905" s="388"/>
      <c r="V905" s="388"/>
      <c r="AA905" s="256"/>
    </row>
    <row r="906">
      <c r="A906" s="388"/>
      <c r="B906" s="388"/>
      <c r="C906" s="388"/>
      <c r="D906" s="388"/>
      <c r="E906" s="388"/>
      <c r="F906" s="388"/>
      <c r="G906" s="388"/>
      <c r="H906" s="388"/>
      <c r="I906" s="388"/>
      <c r="J906" s="388"/>
      <c r="K906" s="388"/>
      <c r="L906" s="388"/>
      <c r="M906" s="388"/>
      <c r="N906" s="388"/>
      <c r="O906" s="388"/>
      <c r="P906" s="388"/>
      <c r="Q906" s="388"/>
      <c r="R906" s="388"/>
      <c r="S906" s="388"/>
      <c r="T906" s="388"/>
      <c r="U906" s="388"/>
      <c r="V906" s="388"/>
      <c r="AA906" s="256"/>
    </row>
    <row r="907">
      <c r="A907" s="388"/>
      <c r="B907" s="388"/>
      <c r="C907" s="388"/>
      <c r="D907" s="388"/>
      <c r="E907" s="388"/>
      <c r="F907" s="388"/>
      <c r="G907" s="388"/>
      <c r="H907" s="388"/>
      <c r="I907" s="388"/>
      <c r="J907" s="388"/>
      <c r="K907" s="388"/>
      <c r="L907" s="388"/>
      <c r="M907" s="388"/>
      <c r="N907" s="388"/>
      <c r="O907" s="388"/>
      <c r="P907" s="388"/>
      <c r="Q907" s="388"/>
      <c r="R907" s="388"/>
      <c r="S907" s="388"/>
      <c r="T907" s="388"/>
      <c r="U907" s="388"/>
      <c r="V907" s="388"/>
      <c r="AA907" s="256"/>
    </row>
    <row r="908">
      <c r="A908" s="388"/>
      <c r="B908" s="388"/>
      <c r="C908" s="388"/>
      <c r="D908" s="388"/>
      <c r="E908" s="388"/>
      <c r="F908" s="388"/>
      <c r="G908" s="388"/>
      <c r="H908" s="388"/>
      <c r="I908" s="388"/>
      <c r="J908" s="388"/>
      <c r="K908" s="388"/>
      <c r="L908" s="388"/>
      <c r="M908" s="388"/>
      <c r="N908" s="388"/>
      <c r="O908" s="388"/>
      <c r="P908" s="388"/>
      <c r="Q908" s="388"/>
      <c r="R908" s="388"/>
      <c r="S908" s="388"/>
      <c r="T908" s="388"/>
      <c r="U908" s="388"/>
      <c r="V908" s="388"/>
      <c r="AA908" s="256"/>
    </row>
    <row r="909">
      <c r="A909" s="388"/>
      <c r="B909" s="388"/>
      <c r="C909" s="388"/>
      <c r="D909" s="388"/>
      <c r="E909" s="388"/>
      <c r="F909" s="388"/>
      <c r="G909" s="388"/>
      <c r="H909" s="388"/>
      <c r="I909" s="388"/>
      <c r="J909" s="388"/>
      <c r="K909" s="388"/>
      <c r="L909" s="388"/>
      <c r="M909" s="388"/>
      <c r="N909" s="388"/>
      <c r="O909" s="388"/>
      <c r="P909" s="388"/>
      <c r="Q909" s="388"/>
      <c r="R909" s="388"/>
      <c r="S909" s="388"/>
      <c r="T909" s="388"/>
      <c r="U909" s="388"/>
      <c r="V909" s="388"/>
      <c r="AA909" s="256"/>
    </row>
    <row r="910">
      <c r="A910" s="388"/>
      <c r="B910" s="388"/>
      <c r="C910" s="388"/>
      <c r="D910" s="388"/>
      <c r="E910" s="388"/>
      <c r="F910" s="388"/>
      <c r="G910" s="388"/>
      <c r="H910" s="388"/>
      <c r="I910" s="388"/>
      <c r="J910" s="388"/>
      <c r="K910" s="388"/>
      <c r="L910" s="388"/>
      <c r="M910" s="388"/>
      <c r="N910" s="388"/>
      <c r="O910" s="388"/>
      <c r="P910" s="388"/>
      <c r="Q910" s="388"/>
      <c r="R910" s="388"/>
      <c r="S910" s="388"/>
      <c r="T910" s="388"/>
      <c r="U910" s="388"/>
      <c r="V910" s="388"/>
      <c r="AA910" s="256"/>
    </row>
    <row r="911">
      <c r="A911" s="388"/>
      <c r="B911" s="388"/>
      <c r="C911" s="388"/>
      <c r="D911" s="388"/>
      <c r="E911" s="388"/>
      <c r="F911" s="388"/>
      <c r="G911" s="388"/>
      <c r="H911" s="388"/>
      <c r="I911" s="388"/>
      <c r="J911" s="388"/>
      <c r="K911" s="388"/>
      <c r="L911" s="388"/>
      <c r="M911" s="388"/>
      <c r="N911" s="388"/>
      <c r="O911" s="388"/>
      <c r="P911" s="388"/>
      <c r="Q911" s="388"/>
      <c r="R911" s="388"/>
      <c r="S911" s="388"/>
      <c r="T911" s="388"/>
      <c r="U911" s="388"/>
      <c r="V911" s="388"/>
      <c r="AA911" s="256"/>
    </row>
    <row r="912">
      <c r="A912" s="388"/>
      <c r="B912" s="388"/>
      <c r="C912" s="388"/>
      <c r="D912" s="388"/>
      <c r="E912" s="388"/>
      <c r="F912" s="388"/>
      <c r="G912" s="388"/>
      <c r="H912" s="388"/>
      <c r="I912" s="388"/>
      <c r="J912" s="388"/>
      <c r="K912" s="388"/>
      <c r="L912" s="388"/>
      <c r="M912" s="388"/>
      <c r="N912" s="388"/>
      <c r="O912" s="388"/>
      <c r="P912" s="388"/>
      <c r="Q912" s="388"/>
      <c r="R912" s="388"/>
      <c r="S912" s="388"/>
      <c r="T912" s="388"/>
      <c r="U912" s="388"/>
      <c r="V912" s="388"/>
      <c r="AA912" s="256"/>
    </row>
    <row r="913">
      <c r="A913" s="388"/>
      <c r="B913" s="388"/>
      <c r="C913" s="388"/>
      <c r="D913" s="388"/>
      <c r="E913" s="388"/>
      <c r="F913" s="388"/>
      <c r="G913" s="388"/>
      <c r="H913" s="388"/>
      <c r="I913" s="388"/>
      <c r="J913" s="388"/>
      <c r="K913" s="388"/>
      <c r="L913" s="388"/>
      <c r="M913" s="388"/>
      <c r="N913" s="388"/>
      <c r="O913" s="388"/>
      <c r="P913" s="388"/>
      <c r="Q913" s="388"/>
      <c r="R913" s="388"/>
      <c r="S913" s="388"/>
      <c r="T913" s="388"/>
      <c r="U913" s="388"/>
      <c r="V913" s="388"/>
      <c r="AA913" s="256"/>
    </row>
    <row r="914">
      <c r="A914" s="388"/>
      <c r="B914" s="388"/>
      <c r="C914" s="388"/>
      <c r="D914" s="388"/>
      <c r="E914" s="388"/>
      <c r="F914" s="388"/>
      <c r="G914" s="388"/>
      <c r="H914" s="388"/>
      <c r="I914" s="388"/>
      <c r="J914" s="388"/>
      <c r="K914" s="388"/>
      <c r="L914" s="388"/>
      <c r="M914" s="388"/>
      <c r="N914" s="388"/>
      <c r="O914" s="388"/>
      <c r="P914" s="388"/>
      <c r="Q914" s="388"/>
      <c r="R914" s="388"/>
      <c r="S914" s="388"/>
      <c r="T914" s="388"/>
      <c r="U914" s="388"/>
      <c r="V914" s="388"/>
      <c r="AA914" s="256"/>
    </row>
    <row r="915">
      <c r="A915" s="388"/>
      <c r="B915" s="388"/>
      <c r="C915" s="388"/>
      <c r="D915" s="388"/>
      <c r="E915" s="388"/>
      <c r="F915" s="388"/>
      <c r="G915" s="388"/>
      <c r="H915" s="388"/>
      <c r="I915" s="388"/>
      <c r="J915" s="388"/>
      <c r="K915" s="388"/>
      <c r="L915" s="388"/>
      <c r="M915" s="388"/>
      <c r="N915" s="388"/>
      <c r="O915" s="388"/>
      <c r="P915" s="388"/>
      <c r="Q915" s="388"/>
      <c r="R915" s="388"/>
      <c r="S915" s="388"/>
      <c r="T915" s="388"/>
      <c r="U915" s="388"/>
      <c r="V915" s="388"/>
      <c r="AA915" s="256"/>
    </row>
    <row r="916">
      <c r="A916" s="388"/>
      <c r="B916" s="388"/>
      <c r="C916" s="388"/>
      <c r="D916" s="388"/>
      <c r="E916" s="388"/>
      <c r="F916" s="388"/>
      <c r="G916" s="388"/>
      <c r="H916" s="388"/>
      <c r="I916" s="388"/>
      <c r="J916" s="388"/>
      <c r="K916" s="388"/>
      <c r="L916" s="388"/>
      <c r="M916" s="388"/>
      <c r="N916" s="388"/>
      <c r="O916" s="388"/>
      <c r="P916" s="388"/>
      <c r="Q916" s="388"/>
      <c r="R916" s="388"/>
      <c r="S916" s="388"/>
      <c r="T916" s="388"/>
      <c r="U916" s="388"/>
      <c r="V916" s="388"/>
      <c r="AA916" s="256"/>
    </row>
    <row r="917">
      <c r="A917" s="388"/>
      <c r="B917" s="388"/>
      <c r="C917" s="388"/>
      <c r="D917" s="388"/>
      <c r="E917" s="388"/>
      <c r="F917" s="388"/>
      <c r="G917" s="388"/>
      <c r="H917" s="388"/>
      <c r="I917" s="388"/>
      <c r="J917" s="388"/>
      <c r="K917" s="388"/>
      <c r="L917" s="388"/>
      <c r="M917" s="388"/>
      <c r="N917" s="388"/>
      <c r="O917" s="388"/>
      <c r="P917" s="388"/>
      <c r="Q917" s="388"/>
      <c r="R917" s="388"/>
      <c r="S917" s="388"/>
      <c r="T917" s="388"/>
      <c r="U917" s="388"/>
      <c r="V917" s="388"/>
      <c r="AA917" s="256"/>
    </row>
    <row r="918">
      <c r="A918" s="388"/>
      <c r="B918" s="388"/>
      <c r="C918" s="388"/>
      <c r="D918" s="388"/>
      <c r="E918" s="388"/>
      <c r="F918" s="388"/>
      <c r="G918" s="388"/>
      <c r="H918" s="388"/>
      <c r="I918" s="388"/>
      <c r="J918" s="388"/>
      <c r="K918" s="388"/>
      <c r="L918" s="388"/>
      <c r="M918" s="388"/>
      <c r="N918" s="388"/>
      <c r="O918" s="388"/>
      <c r="P918" s="388"/>
      <c r="Q918" s="388"/>
      <c r="R918" s="388"/>
      <c r="S918" s="388"/>
      <c r="T918" s="388"/>
      <c r="U918" s="388"/>
      <c r="V918" s="388"/>
      <c r="AA918" s="256"/>
    </row>
    <row r="919">
      <c r="A919" s="388"/>
      <c r="B919" s="388"/>
      <c r="C919" s="388"/>
      <c r="D919" s="388"/>
      <c r="E919" s="388"/>
      <c r="F919" s="388"/>
      <c r="G919" s="388"/>
      <c r="H919" s="388"/>
      <c r="I919" s="388"/>
      <c r="J919" s="388"/>
      <c r="K919" s="388"/>
      <c r="L919" s="388"/>
      <c r="M919" s="388"/>
      <c r="N919" s="388"/>
      <c r="O919" s="388"/>
      <c r="P919" s="388"/>
      <c r="Q919" s="388"/>
      <c r="R919" s="388"/>
      <c r="S919" s="388"/>
      <c r="T919" s="388"/>
      <c r="U919" s="388"/>
      <c r="V919" s="388"/>
      <c r="AA919" s="256"/>
    </row>
    <row r="920">
      <c r="A920" s="388"/>
      <c r="B920" s="388"/>
      <c r="C920" s="388"/>
      <c r="D920" s="388"/>
      <c r="E920" s="388"/>
      <c r="F920" s="388"/>
      <c r="G920" s="388"/>
      <c r="H920" s="388"/>
      <c r="I920" s="388"/>
      <c r="J920" s="388"/>
      <c r="K920" s="388"/>
      <c r="L920" s="388"/>
      <c r="M920" s="388"/>
      <c r="N920" s="388"/>
      <c r="O920" s="388"/>
      <c r="P920" s="388"/>
      <c r="Q920" s="388"/>
      <c r="R920" s="388"/>
      <c r="S920" s="388"/>
      <c r="T920" s="388"/>
      <c r="U920" s="388"/>
      <c r="V920" s="388"/>
      <c r="AA920" s="256"/>
    </row>
    <row r="921">
      <c r="A921" s="388"/>
      <c r="B921" s="388"/>
      <c r="C921" s="388"/>
      <c r="D921" s="388"/>
      <c r="E921" s="388"/>
      <c r="F921" s="388"/>
      <c r="G921" s="388"/>
      <c r="H921" s="388"/>
      <c r="I921" s="388"/>
      <c r="J921" s="388"/>
      <c r="K921" s="388"/>
      <c r="L921" s="388"/>
      <c r="M921" s="388"/>
      <c r="N921" s="388"/>
      <c r="O921" s="388"/>
      <c r="P921" s="388"/>
      <c r="Q921" s="388"/>
      <c r="R921" s="388"/>
      <c r="S921" s="388"/>
      <c r="T921" s="388"/>
      <c r="U921" s="388"/>
      <c r="V921" s="388"/>
      <c r="AA921" s="256"/>
    </row>
    <row r="922">
      <c r="A922" s="388"/>
      <c r="B922" s="388"/>
      <c r="C922" s="388"/>
      <c r="D922" s="388"/>
      <c r="E922" s="388"/>
      <c r="F922" s="388"/>
      <c r="G922" s="388"/>
      <c r="H922" s="388"/>
      <c r="I922" s="388"/>
      <c r="J922" s="388"/>
      <c r="K922" s="388"/>
      <c r="L922" s="388"/>
      <c r="M922" s="388"/>
      <c r="N922" s="388"/>
      <c r="O922" s="388"/>
      <c r="P922" s="388"/>
      <c r="Q922" s="388"/>
      <c r="R922" s="388"/>
      <c r="S922" s="388"/>
      <c r="T922" s="388"/>
      <c r="U922" s="388"/>
      <c r="V922" s="388"/>
      <c r="AA922" s="256"/>
    </row>
    <row r="923">
      <c r="A923" s="388"/>
      <c r="B923" s="388"/>
      <c r="C923" s="388"/>
      <c r="D923" s="388"/>
      <c r="E923" s="388"/>
      <c r="F923" s="388"/>
      <c r="G923" s="388"/>
      <c r="H923" s="388"/>
      <c r="I923" s="388"/>
      <c r="J923" s="388"/>
      <c r="K923" s="388"/>
      <c r="L923" s="388"/>
      <c r="M923" s="388"/>
      <c r="N923" s="388"/>
      <c r="O923" s="388"/>
      <c r="P923" s="388"/>
      <c r="Q923" s="388"/>
      <c r="R923" s="388"/>
      <c r="S923" s="388"/>
      <c r="T923" s="388"/>
      <c r="U923" s="388"/>
      <c r="V923" s="388"/>
      <c r="AA923" s="256"/>
    </row>
    <row r="924">
      <c r="A924" s="388"/>
      <c r="B924" s="388"/>
      <c r="C924" s="388"/>
      <c r="D924" s="388"/>
      <c r="E924" s="388"/>
      <c r="F924" s="388"/>
      <c r="G924" s="388"/>
      <c r="H924" s="388"/>
      <c r="I924" s="388"/>
      <c r="J924" s="388"/>
      <c r="K924" s="388"/>
      <c r="L924" s="388"/>
      <c r="M924" s="388"/>
      <c r="N924" s="388"/>
      <c r="O924" s="388"/>
      <c r="P924" s="388"/>
      <c r="Q924" s="388"/>
      <c r="R924" s="388"/>
      <c r="S924" s="388"/>
      <c r="T924" s="388"/>
      <c r="U924" s="388"/>
      <c r="V924" s="388"/>
      <c r="AA924" s="256"/>
    </row>
    <row r="925">
      <c r="A925" s="388"/>
      <c r="B925" s="388"/>
      <c r="C925" s="388"/>
      <c r="D925" s="388"/>
      <c r="E925" s="388"/>
      <c r="F925" s="388"/>
      <c r="G925" s="388"/>
      <c r="H925" s="388"/>
      <c r="I925" s="388"/>
      <c r="J925" s="388"/>
      <c r="K925" s="388"/>
      <c r="L925" s="388"/>
      <c r="M925" s="388"/>
      <c r="N925" s="388"/>
      <c r="O925" s="388"/>
      <c r="P925" s="388"/>
      <c r="Q925" s="388"/>
      <c r="R925" s="388"/>
      <c r="S925" s="388"/>
      <c r="T925" s="388"/>
      <c r="U925" s="388"/>
      <c r="V925" s="388"/>
      <c r="AA925" s="256"/>
    </row>
    <row r="926">
      <c r="A926" s="388"/>
      <c r="B926" s="388"/>
      <c r="C926" s="388"/>
      <c r="D926" s="388"/>
      <c r="E926" s="388"/>
      <c r="F926" s="388"/>
      <c r="G926" s="388"/>
      <c r="H926" s="388"/>
      <c r="I926" s="388"/>
      <c r="J926" s="388"/>
      <c r="K926" s="388"/>
      <c r="L926" s="388"/>
      <c r="M926" s="388"/>
      <c r="N926" s="388"/>
      <c r="O926" s="388"/>
      <c r="P926" s="388"/>
      <c r="Q926" s="388"/>
      <c r="R926" s="388"/>
      <c r="S926" s="388"/>
      <c r="T926" s="388"/>
      <c r="U926" s="388"/>
      <c r="V926" s="388"/>
      <c r="AA926" s="256"/>
    </row>
    <row r="927">
      <c r="A927" s="388"/>
      <c r="B927" s="388"/>
      <c r="C927" s="388"/>
      <c r="D927" s="388"/>
      <c r="E927" s="388"/>
      <c r="F927" s="388"/>
      <c r="G927" s="388"/>
      <c r="H927" s="388"/>
      <c r="I927" s="388"/>
      <c r="J927" s="388"/>
      <c r="K927" s="388"/>
      <c r="L927" s="388"/>
      <c r="M927" s="388"/>
      <c r="N927" s="388"/>
      <c r="O927" s="388"/>
      <c r="P927" s="388"/>
      <c r="Q927" s="388"/>
      <c r="R927" s="388"/>
      <c r="S927" s="388"/>
      <c r="T927" s="388"/>
      <c r="U927" s="388"/>
      <c r="V927" s="388"/>
      <c r="AA927" s="256"/>
    </row>
    <row r="928">
      <c r="A928" s="388"/>
      <c r="B928" s="388"/>
      <c r="C928" s="388"/>
      <c r="D928" s="388"/>
      <c r="E928" s="388"/>
      <c r="F928" s="388"/>
      <c r="G928" s="388"/>
      <c r="H928" s="388"/>
      <c r="I928" s="388"/>
      <c r="J928" s="388"/>
      <c r="K928" s="388"/>
      <c r="L928" s="388"/>
      <c r="M928" s="388"/>
      <c r="N928" s="388"/>
      <c r="O928" s="388"/>
      <c r="P928" s="388"/>
      <c r="Q928" s="388"/>
      <c r="R928" s="388"/>
      <c r="S928" s="388"/>
      <c r="T928" s="388"/>
      <c r="U928" s="388"/>
      <c r="V928" s="388"/>
      <c r="AA928" s="256"/>
    </row>
    <row r="929">
      <c r="A929" s="388"/>
      <c r="B929" s="388"/>
      <c r="C929" s="388"/>
      <c r="D929" s="388"/>
      <c r="E929" s="388"/>
      <c r="F929" s="388"/>
      <c r="G929" s="388"/>
      <c r="H929" s="388"/>
      <c r="I929" s="388"/>
      <c r="J929" s="388"/>
      <c r="K929" s="388"/>
      <c r="L929" s="388"/>
      <c r="M929" s="388"/>
      <c r="N929" s="388"/>
      <c r="O929" s="388"/>
      <c r="P929" s="388"/>
      <c r="Q929" s="388"/>
      <c r="R929" s="388"/>
      <c r="S929" s="388"/>
      <c r="T929" s="388"/>
      <c r="U929" s="388"/>
      <c r="V929" s="388"/>
      <c r="AA929" s="256"/>
    </row>
    <row r="930">
      <c r="A930" s="388"/>
      <c r="B930" s="388"/>
      <c r="C930" s="388"/>
      <c r="D930" s="388"/>
      <c r="E930" s="388"/>
      <c r="F930" s="388"/>
      <c r="G930" s="388"/>
      <c r="H930" s="388"/>
      <c r="I930" s="388"/>
      <c r="J930" s="388"/>
      <c r="K930" s="388"/>
      <c r="L930" s="388"/>
      <c r="M930" s="388"/>
      <c r="N930" s="388"/>
      <c r="O930" s="388"/>
      <c r="P930" s="388"/>
      <c r="Q930" s="388"/>
      <c r="R930" s="388"/>
      <c r="S930" s="388"/>
      <c r="T930" s="388"/>
      <c r="U930" s="388"/>
      <c r="V930" s="388"/>
      <c r="AA930" s="256"/>
    </row>
    <row r="931">
      <c r="A931" s="388"/>
      <c r="B931" s="388"/>
      <c r="C931" s="388"/>
      <c r="D931" s="388"/>
      <c r="E931" s="388"/>
      <c r="F931" s="388"/>
      <c r="G931" s="388"/>
      <c r="H931" s="388"/>
      <c r="I931" s="388"/>
      <c r="J931" s="388"/>
      <c r="K931" s="388"/>
      <c r="L931" s="388"/>
      <c r="M931" s="388"/>
      <c r="N931" s="388"/>
      <c r="O931" s="388"/>
      <c r="P931" s="388"/>
      <c r="Q931" s="388"/>
      <c r="R931" s="388"/>
      <c r="S931" s="388"/>
      <c r="T931" s="388"/>
      <c r="U931" s="388"/>
      <c r="V931" s="388"/>
      <c r="AA931" s="256"/>
    </row>
    <row r="932">
      <c r="A932" s="388"/>
      <c r="B932" s="388"/>
      <c r="C932" s="388"/>
      <c r="D932" s="388"/>
      <c r="E932" s="388"/>
      <c r="F932" s="388"/>
      <c r="G932" s="388"/>
      <c r="H932" s="388"/>
      <c r="I932" s="388"/>
      <c r="J932" s="388"/>
      <c r="K932" s="388"/>
      <c r="L932" s="388"/>
      <c r="M932" s="388"/>
      <c r="N932" s="388"/>
      <c r="O932" s="388"/>
      <c r="P932" s="388"/>
      <c r="Q932" s="388"/>
      <c r="R932" s="388"/>
      <c r="S932" s="388"/>
      <c r="T932" s="388"/>
      <c r="U932" s="388"/>
      <c r="V932" s="388"/>
      <c r="AA932" s="256"/>
    </row>
    <row r="933">
      <c r="A933" s="388"/>
      <c r="B933" s="388"/>
      <c r="C933" s="388"/>
      <c r="D933" s="388"/>
      <c r="E933" s="388"/>
      <c r="F933" s="388"/>
      <c r="G933" s="388"/>
      <c r="H933" s="388"/>
      <c r="I933" s="388"/>
      <c r="J933" s="388"/>
      <c r="K933" s="388"/>
      <c r="L933" s="388"/>
      <c r="M933" s="388"/>
      <c r="N933" s="388"/>
      <c r="O933" s="388"/>
      <c r="P933" s="388"/>
      <c r="Q933" s="388"/>
      <c r="R933" s="388"/>
      <c r="S933" s="388"/>
      <c r="T933" s="388"/>
      <c r="U933" s="388"/>
      <c r="V933" s="388"/>
      <c r="AA933" s="256"/>
    </row>
    <row r="934">
      <c r="A934" s="388"/>
      <c r="B934" s="388"/>
      <c r="C934" s="388"/>
      <c r="D934" s="388"/>
      <c r="E934" s="388"/>
      <c r="F934" s="388"/>
      <c r="G934" s="388"/>
      <c r="H934" s="388"/>
      <c r="I934" s="388"/>
      <c r="J934" s="388"/>
      <c r="K934" s="388"/>
      <c r="L934" s="388"/>
      <c r="M934" s="388"/>
      <c r="N934" s="388"/>
      <c r="O934" s="388"/>
      <c r="P934" s="388"/>
      <c r="Q934" s="388"/>
      <c r="R934" s="388"/>
      <c r="S934" s="388"/>
      <c r="T934" s="388"/>
      <c r="U934" s="388"/>
      <c r="V934" s="388"/>
      <c r="AA934" s="256"/>
    </row>
    <row r="935">
      <c r="A935" s="388"/>
      <c r="B935" s="388"/>
      <c r="C935" s="388"/>
      <c r="D935" s="388"/>
      <c r="E935" s="388"/>
      <c r="F935" s="388"/>
      <c r="G935" s="388"/>
      <c r="H935" s="388"/>
      <c r="I935" s="388"/>
      <c r="J935" s="388"/>
      <c r="K935" s="388"/>
      <c r="L935" s="388"/>
      <c r="M935" s="388"/>
      <c r="N935" s="388"/>
      <c r="O935" s="388"/>
      <c r="P935" s="388"/>
      <c r="Q935" s="388"/>
      <c r="R935" s="388"/>
      <c r="S935" s="388"/>
      <c r="T935" s="388"/>
      <c r="U935" s="388"/>
      <c r="V935" s="388"/>
      <c r="AA935" s="256"/>
    </row>
    <row r="936">
      <c r="A936" s="388"/>
      <c r="B936" s="388"/>
      <c r="C936" s="388"/>
      <c r="D936" s="388"/>
      <c r="E936" s="388"/>
      <c r="F936" s="388"/>
      <c r="G936" s="388"/>
      <c r="H936" s="388"/>
      <c r="I936" s="388"/>
      <c r="J936" s="388"/>
      <c r="K936" s="388"/>
      <c r="L936" s="388"/>
      <c r="M936" s="388"/>
      <c r="N936" s="388"/>
      <c r="O936" s="388"/>
      <c r="P936" s="388"/>
      <c r="Q936" s="388"/>
      <c r="R936" s="388"/>
      <c r="S936" s="388"/>
      <c r="T936" s="388"/>
      <c r="U936" s="388"/>
      <c r="V936" s="388"/>
      <c r="AA936" s="256"/>
    </row>
    <row r="937">
      <c r="A937" s="388"/>
      <c r="B937" s="388"/>
      <c r="C937" s="388"/>
      <c r="D937" s="388"/>
      <c r="E937" s="388"/>
      <c r="F937" s="388"/>
      <c r="G937" s="388"/>
      <c r="H937" s="388"/>
      <c r="I937" s="388"/>
      <c r="J937" s="388"/>
      <c r="K937" s="388"/>
      <c r="L937" s="388"/>
      <c r="M937" s="388"/>
      <c r="N937" s="388"/>
      <c r="O937" s="388"/>
      <c r="P937" s="388"/>
      <c r="Q937" s="388"/>
      <c r="R937" s="388"/>
      <c r="S937" s="388"/>
      <c r="T937" s="388"/>
      <c r="U937" s="388"/>
      <c r="V937" s="388"/>
      <c r="AA937" s="256"/>
    </row>
    <row r="938">
      <c r="A938" s="388"/>
      <c r="B938" s="388"/>
      <c r="C938" s="388"/>
      <c r="D938" s="388"/>
      <c r="E938" s="388"/>
      <c r="F938" s="388"/>
      <c r="G938" s="388"/>
      <c r="H938" s="388"/>
      <c r="I938" s="388"/>
      <c r="J938" s="388"/>
      <c r="K938" s="388"/>
      <c r="L938" s="388"/>
      <c r="M938" s="388"/>
      <c r="N938" s="388"/>
      <c r="O938" s="388"/>
      <c r="P938" s="388"/>
      <c r="Q938" s="388"/>
      <c r="R938" s="388"/>
      <c r="S938" s="388"/>
      <c r="T938" s="388"/>
      <c r="U938" s="388"/>
      <c r="V938" s="388"/>
      <c r="AA938" s="256"/>
    </row>
    <row r="939">
      <c r="A939" s="388"/>
      <c r="B939" s="388"/>
      <c r="C939" s="388"/>
      <c r="D939" s="388"/>
      <c r="E939" s="388"/>
      <c r="F939" s="388"/>
      <c r="G939" s="388"/>
      <c r="H939" s="388"/>
      <c r="I939" s="388"/>
      <c r="J939" s="388"/>
      <c r="K939" s="388"/>
      <c r="L939" s="388"/>
      <c r="M939" s="388"/>
      <c r="N939" s="388"/>
      <c r="O939" s="388"/>
      <c r="P939" s="388"/>
      <c r="Q939" s="388"/>
      <c r="R939" s="388"/>
      <c r="S939" s="388"/>
      <c r="T939" s="388"/>
      <c r="U939" s="388"/>
      <c r="V939" s="388"/>
      <c r="AA939" s="256"/>
    </row>
    <row r="940">
      <c r="A940" s="388"/>
      <c r="B940" s="388"/>
      <c r="C940" s="388"/>
      <c r="D940" s="388"/>
      <c r="E940" s="388"/>
      <c r="F940" s="388"/>
      <c r="G940" s="388"/>
      <c r="H940" s="388"/>
      <c r="I940" s="388"/>
      <c r="J940" s="388"/>
      <c r="K940" s="388"/>
      <c r="L940" s="388"/>
      <c r="M940" s="388"/>
      <c r="N940" s="388"/>
      <c r="O940" s="388"/>
      <c r="P940" s="388"/>
      <c r="Q940" s="388"/>
      <c r="R940" s="388"/>
      <c r="S940" s="388"/>
      <c r="T940" s="388"/>
      <c r="U940" s="388"/>
      <c r="V940" s="388"/>
      <c r="AA940" s="256"/>
    </row>
    <row r="941">
      <c r="A941" s="388"/>
      <c r="B941" s="388"/>
      <c r="C941" s="388"/>
      <c r="D941" s="388"/>
      <c r="E941" s="388"/>
      <c r="F941" s="388"/>
      <c r="G941" s="388"/>
      <c r="H941" s="388"/>
      <c r="I941" s="388"/>
      <c r="J941" s="388"/>
      <c r="K941" s="388"/>
      <c r="L941" s="388"/>
      <c r="M941" s="388"/>
      <c r="N941" s="388"/>
      <c r="O941" s="388"/>
      <c r="P941" s="388"/>
      <c r="Q941" s="388"/>
      <c r="R941" s="388"/>
      <c r="S941" s="388"/>
      <c r="T941" s="388"/>
      <c r="U941" s="388"/>
      <c r="V941" s="388"/>
      <c r="AA941" s="256"/>
    </row>
    <row r="942">
      <c r="A942" s="388"/>
      <c r="B942" s="388"/>
      <c r="C942" s="388"/>
      <c r="D942" s="388"/>
      <c r="E942" s="388"/>
      <c r="F942" s="388"/>
      <c r="G942" s="388"/>
      <c r="H942" s="388"/>
      <c r="I942" s="388"/>
      <c r="J942" s="388"/>
      <c r="K942" s="388"/>
      <c r="L942" s="388"/>
      <c r="M942" s="388"/>
      <c r="N942" s="388"/>
      <c r="O942" s="388"/>
      <c r="P942" s="388"/>
      <c r="Q942" s="388"/>
      <c r="R942" s="388"/>
      <c r="S942" s="388"/>
      <c r="T942" s="388"/>
      <c r="U942" s="388"/>
      <c r="V942" s="388"/>
      <c r="AA942" s="256"/>
    </row>
    <row r="943">
      <c r="A943" s="388"/>
      <c r="B943" s="388"/>
      <c r="C943" s="388"/>
      <c r="D943" s="388"/>
      <c r="E943" s="388"/>
      <c r="F943" s="388"/>
      <c r="G943" s="388"/>
      <c r="H943" s="388"/>
      <c r="I943" s="388"/>
      <c r="J943" s="388"/>
      <c r="K943" s="388"/>
      <c r="L943" s="388"/>
      <c r="M943" s="388"/>
      <c r="N943" s="388"/>
      <c r="O943" s="388"/>
      <c r="P943" s="388"/>
      <c r="Q943" s="388"/>
      <c r="R943" s="388"/>
      <c r="S943" s="388"/>
      <c r="T943" s="388"/>
      <c r="U943" s="388"/>
      <c r="V943" s="388"/>
      <c r="AA943" s="256"/>
    </row>
    <row r="944">
      <c r="A944" s="388"/>
      <c r="B944" s="388"/>
      <c r="C944" s="388"/>
      <c r="D944" s="388"/>
      <c r="E944" s="388"/>
      <c r="F944" s="388"/>
      <c r="G944" s="388"/>
      <c r="H944" s="388"/>
      <c r="I944" s="388"/>
      <c r="J944" s="388"/>
      <c r="K944" s="388"/>
      <c r="L944" s="388"/>
      <c r="M944" s="388"/>
      <c r="N944" s="388"/>
      <c r="O944" s="388"/>
      <c r="P944" s="388"/>
      <c r="Q944" s="388"/>
      <c r="R944" s="388"/>
      <c r="S944" s="388"/>
      <c r="T944" s="388"/>
      <c r="U944" s="388"/>
      <c r="V944" s="388"/>
      <c r="AA944" s="256"/>
    </row>
    <row r="945">
      <c r="A945" s="388"/>
      <c r="B945" s="388"/>
      <c r="C945" s="388"/>
      <c r="D945" s="388"/>
      <c r="E945" s="388"/>
      <c r="F945" s="388"/>
      <c r="G945" s="388"/>
      <c r="H945" s="388"/>
      <c r="I945" s="388"/>
      <c r="J945" s="388"/>
      <c r="K945" s="388"/>
      <c r="L945" s="388"/>
      <c r="M945" s="388"/>
      <c r="N945" s="388"/>
      <c r="O945" s="388"/>
      <c r="P945" s="388"/>
      <c r="Q945" s="388"/>
      <c r="R945" s="388"/>
      <c r="S945" s="388"/>
      <c r="T945" s="388"/>
      <c r="U945" s="388"/>
      <c r="V945" s="388"/>
      <c r="AA945" s="256"/>
    </row>
    <row r="946">
      <c r="A946" s="388"/>
      <c r="B946" s="388"/>
      <c r="C946" s="388"/>
      <c r="D946" s="388"/>
      <c r="E946" s="388"/>
      <c r="F946" s="388"/>
      <c r="G946" s="388"/>
      <c r="H946" s="388"/>
      <c r="I946" s="388"/>
      <c r="J946" s="388"/>
      <c r="K946" s="388"/>
      <c r="L946" s="388"/>
      <c r="M946" s="388"/>
      <c r="N946" s="388"/>
      <c r="O946" s="388"/>
      <c r="P946" s="388"/>
      <c r="Q946" s="388"/>
      <c r="R946" s="388"/>
      <c r="S946" s="388"/>
      <c r="T946" s="388"/>
      <c r="U946" s="388"/>
      <c r="V946" s="388"/>
      <c r="AA946" s="256"/>
    </row>
    <row r="947">
      <c r="A947" s="388"/>
      <c r="B947" s="388"/>
      <c r="C947" s="388"/>
      <c r="D947" s="388"/>
      <c r="E947" s="388"/>
      <c r="F947" s="388"/>
      <c r="G947" s="388"/>
      <c r="H947" s="388"/>
      <c r="I947" s="388"/>
      <c r="J947" s="388"/>
      <c r="K947" s="388"/>
      <c r="L947" s="388"/>
      <c r="M947" s="388"/>
      <c r="N947" s="388"/>
      <c r="O947" s="388"/>
      <c r="P947" s="388"/>
      <c r="Q947" s="388"/>
      <c r="R947" s="388"/>
      <c r="S947" s="388"/>
      <c r="T947" s="388"/>
      <c r="U947" s="388"/>
      <c r="V947" s="388"/>
      <c r="AA947" s="256"/>
    </row>
    <row r="948">
      <c r="A948" s="388"/>
      <c r="B948" s="388"/>
      <c r="C948" s="388"/>
      <c r="D948" s="388"/>
      <c r="E948" s="388"/>
      <c r="F948" s="388"/>
      <c r="G948" s="388"/>
      <c r="H948" s="388"/>
      <c r="I948" s="388"/>
      <c r="J948" s="388"/>
      <c r="K948" s="388"/>
      <c r="L948" s="388"/>
      <c r="M948" s="388"/>
      <c r="N948" s="388"/>
      <c r="O948" s="388"/>
      <c r="P948" s="388"/>
      <c r="Q948" s="388"/>
      <c r="R948" s="388"/>
      <c r="S948" s="388"/>
      <c r="T948" s="388"/>
      <c r="U948" s="388"/>
      <c r="V948" s="388"/>
      <c r="AA948" s="256"/>
    </row>
    <row r="949">
      <c r="A949" s="388"/>
      <c r="B949" s="388"/>
      <c r="C949" s="388"/>
      <c r="D949" s="388"/>
      <c r="E949" s="388"/>
      <c r="F949" s="388"/>
      <c r="G949" s="388"/>
      <c r="H949" s="388"/>
      <c r="I949" s="388"/>
      <c r="J949" s="388"/>
      <c r="K949" s="388"/>
      <c r="L949" s="388"/>
      <c r="M949" s="388"/>
      <c r="N949" s="388"/>
      <c r="O949" s="388"/>
      <c r="P949" s="388"/>
      <c r="Q949" s="388"/>
      <c r="R949" s="388"/>
      <c r="S949" s="388"/>
      <c r="T949" s="388"/>
      <c r="U949" s="388"/>
      <c r="V949" s="388"/>
      <c r="AA949" s="256"/>
    </row>
    <row r="950">
      <c r="A950" s="388"/>
      <c r="B950" s="388"/>
      <c r="C950" s="388"/>
      <c r="D950" s="388"/>
      <c r="E950" s="388"/>
      <c r="F950" s="388"/>
      <c r="G950" s="388"/>
      <c r="H950" s="388"/>
      <c r="I950" s="388"/>
      <c r="J950" s="388"/>
      <c r="K950" s="388"/>
      <c r="L950" s="388"/>
      <c r="M950" s="388"/>
      <c r="N950" s="388"/>
      <c r="O950" s="388"/>
      <c r="P950" s="388"/>
      <c r="Q950" s="388"/>
      <c r="R950" s="388"/>
      <c r="S950" s="388"/>
      <c r="T950" s="388"/>
      <c r="U950" s="388"/>
      <c r="V950" s="388"/>
      <c r="AA950" s="256"/>
    </row>
    <row r="951">
      <c r="A951" s="388"/>
      <c r="B951" s="388"/>
      <c r="C951" s="388"/>
      <c r="D951" s="388"/>
      <c r="E951" s="388"/>
      <c r="F951" s="388"/>
      <c r="G951" s="388"/>
      <c r="H951" s="388"/>
      <c r="I951" s="388"/>
      <c r="J951" s="388"/>
      <c r="K951" s="388"/>
      <c r="L951" s="388"/>
      <c r="M951" s="388"/>
      <c r="N951" s="388"/>
      <c r="O951" s="388"/>
      <c r="P951" s="388"/>
      <c r="Q951" s="388"/>
      <c r="R951" s="388"/>
      <c r="S951" s="388"/>
      <c r="T951" s="388"/>
      <c r="U951" s="388"/>
      <c r="V951" s="388"/>
      <c r="AA951" s="256"/>
    </row>
    <row r="952">
      <c r="A952" s="388"/>
      <c r="B952" s="388"/>
      <c r="C952" s="388"/>
      <c r="D952" s="388"/>
      <c r="E952" s="388"/>
      <c r="F952" s="388"/>
      <c r="G952" s="388"/>
      <c r="H952" s="388"/>
      <c r="I952" s="388"/>
      <c r="J952" s="388"/>
      <c r="K952" s="388"/>
      <c r="L952" s="388"/>
      <c r="M952" s="388"/>
      <c r="N952" s="388"/>
      <c r="O952" s="388"/>
      <c r="P952" s="388"/>
      <c r="Q952" s="388"/>
      <c r="R952" s="388"/>
      <c r="S952" s="388"/>
      <c r="T952" s="388"/>
      <c r="U952" s="388"/>
      <c r="V952" s="388"/>
      <c r="AA952" s="256"/>
    </row>
    <row r="953">
      <c r="A953" s="388"/>
      <c r="B953" s="388"/>
      <c r="C953" s="388"/>
      <c r="D953" s="388"/>
      <c r="E953" s="388"/>
      <c r="F953" s="388"/>
      <c r="G953" s="388"/>
      <c r="H953" s="388"/>
      <c r="I953" s="388"/>
      <c r="J953" s="388"/>
      <c r="K953" s="388"/>
      <c r="L953" s="388"/>
      <c r="M953" s="388"/>
      <c r="N953" s="388"/>
      <c r="O953" s="388"/>
      <c r="P953" s="388"/>
      <c r="Q953" s="388"/>
      <c r="R953" s="388"/>
      <c r="S953" s="388"/>
      <c r="T953" s="388"/>
      <c r="U953" s="388"/>
      <c r="V953" s="388"/>
      <c r="AA953" s="256"/>
    </row>
    <row r="954">
      <c r="A954" s="388"/>
      <c r="B954" s="388"/>
      <c r="C954" s="388"/>
      <c r="D954" s="388"/>
      <c r="E954" s="388"/>
      <c r="F954" s="388"/>
      <c r="G954" s="388"/>
      <c r="H954" s="388"/>
      <c r="I954" s="388"/>
      <c r="J954" s="388"/>
      <c r="K954" s="388"/>
      <c r="L954" s="388"/>
      <c r="M954" s="388"/>
      <c r="N954" s="388"/>
      <c r="O954" s="388"/>
      <c r="P954" s="388"/>
      <c r="Q954" s="388"/>
      <c r="R954" s="388"/>
      <c r="S954" s="388"/>
      <c r="T954" s="388"/>
      <c r="U954" s="388"/>
      <c r="V954" s="388"/>
      <c r="AA954" s="256"/>
    </row>
    <row r="955">
      <c r="A955" s="388"/>
      <c r="B955" s="388"/>
      <c r="C955" s="388"/>
      <c r="D955" s="388"/>
      <c r="E955" s="388"/>
      <c r="F955" s="388"/>
      <c r="G955" s="388"/>
      <c r="H955" s="388"/>
      <c r="I955" s="388"/>
      <c r="J955" s="388"/>
      <c r="K955" s="388"/>
      <c r="L955" s="388"/>
      <c r="M955" s="388"/>
      <c r="N955" s="388"/>
      <c r="O955" s="388"/>
      <c r="P955" s="388"/>
      <c r="Q955" s="388"/>
      <c r="R955" s="388"/>
      <c r="S955" s="388"/>
      <c r="T955" s="388"/>
      <c r="U955" s="388"/>
      <c r="V955" s="388"/>
      <c r="AA955" s="256"/>
    </row>
    <row r="956">
      <c r="A956" s="388"/>
      <c r="B956" s="388"/>
      <c r="C956" s="388"/>
      <c r="D956" s="388"/>
      <c r="E956" s="388"/>
      <c r="F956" s="388"/>
      <c r="G956" s="388"/>
      <c r="H956" s="388"/>
      <c r="I956" s="388"/>
      <c r="J956" s="388"/>
      <c r="K956" s="388"/>
      <c r="L956" s="388"/>
      <c r="M956" s="388"/>
      <c r="N956" s="388"/>
      <c r="O956" s="388"/>
      <c r="P956" s="388"/>
      <c r="Q956" s="388"/>
      <c r="R956" s="388"/>
      <c r="S956" s="388"/>
      <c r="T956" s="388"/>
      <c r="U956" s="388"/>
      <c r="V956" s="388"/>
      <c r="AA956" s="256"/>
    </row>
    <row r="957">
      <c r="A957" s="388"/>
      <c r="B957" s="388"/>
      <c r="C957" s="388"/>
      <c r="D957" s="388"/>
      <c r="E957" s="388"/>
      <c r="F957" s="388"/>
      <c r="G957" s="388"/>
      <c r="H957" s="388"/>
      <c r="I957" s="388"/>
      <c r="J957" s="388"/>
      <c r="K957" s="388"/>
      <c r="L957" s="388"/>
      <c r="M957" s="388"/>
      <c r="N957" s="388"/>
      <c r="O957" s="388"/>
      <c r="P957" s="388"/>
      <c r="Q957" s="388"/>
      <c r="R957" s="388"/>
      <c r="S957" s="388"/>
      <c r="T957" s="388"/>
      <c r="U957" s="388"/>
      <c r="V957" s="388"/>
      <c r="AA957" s="256"/>
    </row>
    <row r="958">
      <c r="A958" s="388"/>
      <c r="B958" s="388"/>
      <c r="C958" s="388"/>
      <c r="D958" s="388"/>
      <c r="E958" s="388"/>
      <c r="F958" s="388"/>
      <c r="G958" s="388"/>
      <c r="H958" s="388"/>
      <c r="I958" s="388"/>
      <c r="J958" s="388"/>
      <c r="K958" s="388"/>
      <c r="L958" s="388"/>
      <c r="M958" s="388"/>
      <c r="N958" s="388"/>
      <c r="O958" s="388"/>
      <c r="P958" s="388"/>
      <c r="Q958" s="388"/>
      <c r="R958" s="388"/>
      <c r="S958" s="388"/>
      <c r="T958" s="388"/>
      <c r="U958" s="388"/>
      <c r="V958" s="388"/>
      <c r="AA958" s="256"/>
    </row>
    <row r="959">
      <c r="A959" s="388"/>
      <c r="B959" s="388"/>
      <c r="C959" s="388"/>
      <c r="D959" s="388"/>
      <c r="E959" s="388"/>
      <c r="F959" s="388"/>
      <c r="G959" s="388"/>
      <c r="H959" s="388"/>
      <c r="I959" s="388"/>
      <c r="J959" s="388"/>
      <c r="K959" s="388"/>
      <c r="L959" s="388"/>
      <c r="M959" s="388"/>
      <c r="N959" s="388"/>
      <c r="O959" s="388"/>
      <c r="P959" s="388"/>
      <c r="Q959" s="388"/>
      <c r="R959" s="388"/>
      <c r="S959" s="388"/>
      <c r="T959" s="388"/>
      <c r="U959" s="388"/>
      <c r="V959" s="388"/>
      <c r="AA959" s="256"/>
    </row>
    <row r="960">
      <c r="A960" s="388"/>
      <c r="B960" s="388"/>
      <c r="C960" s="388"/>
      <c r="D960" s="388"/>
      <c r="E960" s="388"/>
      <c r="F960" s="388"/>
      <c r="G960" s="388"/>
      <c r="H960" s="388"/>
      <c r="I960" s="388"/>
      <c r="J960" s="388"/>
      <c r="K960" s="388"/>
      <c r="L960" s="388"/>
      <c r="M960" s="388"/>
      <c r="N960" s="388"/>
      <c r="O960" s="388"/>
      <c r="P960" s="388"/>
      <c r="Q960" s="388"/>
      <c r="R960" s="388"/>
      <c r="S960" s="388"/>
      <c r="T960" s="388"/>
      <c r="U960" s="388"/>
      <c r="V960" s="388"/>
      <c r="AA960" s="256"/>
    </row>
    <row r="961">
      <c r="A961" s="388"/>
      <c r="B961" s="388"/>
      <c r="C961" s="388"/>
      <c r="D961" s="388"/>
      <c r="E961" s="388"/>
      <c r="F961" s="388"/>
      <c r="G961" s="388"/>
      <c r="H961" s="388"/>
      <c r="I961" s="388"/>
      <c r="J961" s="388"/>
      <c r="K961" s="388"/>
      <c r="L961" s="388"/>
      <c r="M961" s="388"/>
      <c r="N961" s="388"/>
      <c r="O961" s="388"/>
      <c r="P961" s="388"/>
      <c r="Q961" s="388"/>
      <c r="R961" s="388"/>
      <c r="S961" s="388"/>
      <c r="T961" s="388"/>
      <c r="U961" s="388"/>
      <c r="V961" s="388"/>
      <c r="AA961" s="256"/>
    </row>
    <row r="962">
      <c r="A962" s="388"/>
      <c r="B962" s="388"/>
      <c r="C962" s="388"/>
      <c r="D962" s="388"/>
      <c r="E962" s="388"/>
      <c r="F962" s="388"/>
      <c r="G962" s="388"/>
      <c r="H962" s="388"/>
      <c r="I962" s="388"/>
      <c r="J962" s="388"/>
      <c r="K962" s="388"/>
      <c r="L962" s="388"/>
      <c r="M962" s="388"/>
      <c r="N962" s="388"/>
      <c r="O962" s="388"/>
      <c r="P962" s="388"/>
      <c r="Q962" s="388"/>
      <c r="R962" s="388"/>
      <c r="S962" s="388"/>
      <c r="T962" s="388"/>
      <c r="U962" s="388"/>
      <c r="V962" s="388"/>
      <c r="AA962" s="256"/>
    </row>
    <row r="963">
      <c r="A963" s="388"/>
      <c r="B963" s="388"/>
      <c r="C963" s="388"/>
      <c r="D963" s="388"/>
      <c r="E963" s="388"/>
      <c r="F963" s="388"/>
      <c r="G963" s="388"/>
      <c r="H963" s="388"/>
      <c r="I963" s="388"/>
      <c r="J963" s="388"/>
      <c r="K963" s="388"/>
      <c r="L963" s="388"/>
      <c r="M963" s="388"/>
      <c r="N963" s="388"/>
      <c r="O963" s="388"/>
      <c r="P963" s="388"/>
      <c r="Q963" s="388"/>
      <c r="R963" s="388"/>
      <c r="S963" s="388"/>
      <c r="T963" s="388"/>
      <c r="U963" s="388"/>
      <c r="V963" s="388"/>
      <c r="AA963" s="256"/>
    </row>
    <row r="964">
      <c r="A964" s="388"/>
      <c r="B964" s="388"/>
      <c r="C964" s="388"/>
      <c r="D964" s="388"/>
      <c r="E964" s="388"/>
      <c r="F964" s="388"/>
      <c r="G964" s="388"/>
      <c r="H964" s="388"/>
      <c r="I964" s="388"/>
      <c r="J964" s="388"/>
      <c r="K964" s="388"/>
      <c r="L964" s="388"/>
      <c r="M964" s="388"/>
      <c r="N964" s="388"/>
      <c r="O964" s="388"/>
      <c r="P964" s="388"/>
      <c r="Q964" s="388"/>
      <c r="R964" s="388"/>
      <c r="S964" s="388"/>
      <c r="T964" s="388"/>
      <c r="U964" s="388"/>
      <c r="V964" s="388"/>
      <c r="AA964" s="256"/>
    </row>
    <row r="965">
      <c r="A965" s="388"/>
      <c r="B965" s="388"/>
      <c r="C965" s="388"/>
      <c r="D965" s="388"/>
      <c r="E965" s="388"/>
      <c r="F965" s="388"/>
      <c r="G965" s="388"/>
      <c r="H965" s="388"/>
      <c r="I965" s="388"/>
      <c r="J965" s="388"/>
      <c r="K965" s="388"/>
      <c r="L965" s="388"/>
      <c r="M965" s="388"/>
      <c r="N965" s="388"/>
      <c r="O965" s="388"/>
      <c r="P965" s="388"/>
      <c r="Q965" s="388"/>
      <c r="R965" s="388"/>
      <c r="S965" s="388"/>
      <c r="T965" s="388"/>
      <c r="U965" s="388"/>
      <c r="V965" s="388"/>
      <c r="AA965" s="256"/>
    </row>
    <row r="966">
      <c r="A966" s="388"/>
      <c r="B966" s="388"/>
      <c r="C966" s="388"/>
      <c r="D966" s="388"/>
      <c r="E966" s="388"/>
      <c r="F966" s="388"/>
      <c r="G966" s="388"/>
      <c r="H966" s="388"/>
      <c r="I966" s="388"/>
      <c r="J966" s="388"/>
      <c r="K966" s="388"/>
      <c r="L966" s="388"/>
      <c r="M966" s="388"/>
      <c r="N966" s="388"/>
      <c r="O966" s="388"/>
      <c r="P966" s="388"/>
      <c r="Q966" s="388"/>
      <c r="R966" s="388"/>
      <c r="S966" s="388"/>
      <c r="T966" s="388"/>
      <c r="U966" s="388"/>
      <c r="V966" s="388"/>
      <c r="AA966" s="256"/>
    </row>
    <row r="967">
      <c r="A967" s="388"/>
      <c r="B967" s="388"/>
      <c r="C967" s="388"/>
      <c r="D967" s="388"/>
      <c r="E967" s="388"/>
      <c r="F967" s="388"/>
      <c r="G967" s="388"/>
      <c r="H967" s="388"/>
      <c r="I967" s="388"/>
      <c r="J967" s="388"/>
      <c r="K967" s="388"/>
      <c r="L967" s="388"/>
      <c r="M967" s="388"/>
      <c r="N967" s="388"/>
      <c r="O967" s="388"/>
      <c r="P967" s="388"/>
      <c r="Q967" s="388"/>
      <c r="R967" s="388"/>
      <c r="S967" s="388"/>
      <c r="T967" s="388"/>
      <c r="U967" s="388"/>
      <c r="V967" s="388"/>
      <c r="AA967" s="256"/>
    </row>
    <row r="968">
      <c r="A968" s="388"/>
      <c r="B968" s="388"/>
      <c r="C968" s="388"/>
      <c r="D968" s="388"/>
      <c r="E968" s="388"/>
      <c r="F968" s="388"/>
      <c r="G968" s="388"/>
      <c r="H968" s="388"/>
      <c r="I968" s="388"/>
      <c r="J968" s="388"/>
      <c r="K968" s="388"/>
      <c r="L968" s="388"/>
      <c r="M968" s="388"/>
      <c r="N968" s="388"/>
      <c r="O968" s="388"/>
      <c r="P968" s="388"/>
      <c r="Q968" s="388"/>
      <c r="R968" s="388"/>
      <c r="S968" s="388"/>
      <c r="T968" s="388"/>
      <c r="U968" s="388"/>
      <c r="V968" s="388"/>
      <c r="AA968" s="256"/>
    </row>
    <row r="969">
      <c r="A969" s="388"/>
      <c r="B969" s="388"/>
      <c r="C969" s="388"/>
      <c r="D969" s="388"/>
      <c r="E969" s="388"/>
      <c r="F969" s="388"/>
      <c r="G969" s="388"/>
      <c r="H969" s="388"/>
      <c r="I969" s="388"/>
      <c r="J969" s="388"/>
      <c r="K969" s="388"/>
      <c r="L969" s="388"/>
      <c r="M969" s="388"/>
      <c r="N969" s="388"/>
      <c r="O969" s="388"/>
      <c r="P969" s="388"/>
      <c r="Q969" s="388"/>
      <c r="R969" s="388"/>
      <c r="S969" s="388"/>
      <c r="T969" s="388"/>
      <c r="U969" s="388"/>
      <c r="V969" s="388"/>
      <c r="AA969" s="256"/>
    </row>
    <row r="970">
      <c r="A970" s="388"/>
      <c r="B970" s="388"/>
      <c r="C970" s="388"/>
      <c r="D970" s="388"/>
      <c r="E970" s="388"/>
      <c r="F970" s="388"/>
      <c r="G970" s="388"/>
      <c r="H970" s="388"/>
      <c r="I970" s="388"/>
      <c r="J970" s="388"/>
      <c r="K970" s="388"/>
      <c r="L970" s="388"/>
      <c r="M970" s="388"/>
      <c r="N970" s="388"/>
      <c r="O970" s="388"/>
      <c r="P970" s="388"/>
      <c r="Q970" s="388"/>
      <c r="R970" s="388"/>
      <c r="S970" s="388"/>
      <c r="T970" s="388"/>
      <c r="U970" s="388"/>
      <c r="V970" s="388"/>
      <c r="AA970" s="256"/>
    </row>
    <row r="971">
      <c r="A971" s="388"/>
      <c r="B971" s="388"/>
      <c r="C971" s="388"/>
      <c r="D971" s="388"/>
      <c r="E971" s="388"/>
      <c r="F971" s="388"/>
      <c r="G971" s="388"/>
      <c r="H971" s="388"/>
      <c r="I971" s="388"/>
      <c r="J971" s="388"/>
      <c r="K971" s="388"/>
      <c r="L971" s="388"/>
      <c r="M971" s="388"/>
      <c r="N971" s="388"/>
      <c r="O971" s="388"/>
      <c r="P971" s="388"/>
      <c r="Q971" s="388"/>
      <c r="R971" s="388"/>
      <c r="S971" s="388"/>
      <c r="T971" s="388"/>
      <c r="U971" s="388"/>
      <c r="V971" s="388"/>
      <c r="AA971" s="256"/>
    </row>
    <row r="972">
      <c r="A972" s="388"/>
      <c r="B972" s="388"/>
      <c r="C972" s="388"/>
      <c r="D972" s="388"/>
      <c r="E972" s="388"/>
      <c r="F972" s="388"/>
      <c r="G972" s="388"/>
      <c r="H972" s="388"/>
      <c r="I972" s="388"/>
      <c r="J972" s="388"/>
      <c r="K972" s="388"/>
      <c r="L972" s="388"/>
      <c r="M972" s="388"/>
      <c r="N972" s="388"/>
      <c r="O972" s="388"/>
      <c r="P972" s="388"/>
      <c r="Q972" s="388"/>
      <c r="R972" s="388"/>
      <c r="S972" s="388"/>
      <c r="T972" s="388"/>
      <c r="U972" s="388"/>
      <c r="V972" s="388"/>
      <c r="AA972" s="256"/>
    </row>
    <row r="973">
      <c r="A973" s="388"/>
      <c r="B973" s="388"/>
      <c r="C973" s="388"/>
      <c r="D973" s="388"/>
      <c r="E973" s="388"/>
      <c r="F973" s="388"/>
      <c r="G973" s="388"/>
      <c r="H973" s="388"/>
      <c r="I973" s="388"/>
      <c r="J973" s="388"/>
      <c r="K973" s="388"/>
      <c r="L973" s="388"/>
      <c r="M973" s="388"/>
      <c r="N973" s="388"/>
      <c r="O973" s="388"/>
      <c r="P973" s="388"/>
      <c r="Q973" s="388"/>
      <c r="R973" s="388"/>
      <c r="S973" s="388"/>
      <c r="T973" s="388"/>
      <c r="U973" s="388"/>
      <c r="V973" s="388"/>
      <c r="AA973" s="256"/>
    </row>
    <row r="974">
      <c r="A974" s="388"/>
      <c r="B974" s="388"/>
      <c r="C974" s="388"/>
      <c r="D974" s="388"/>
      <c r="E974" s="388"/>
      <c r="F974" s="388"/>
      <c r="G974" s="388"/>
      <c r="H974" s="388"/>
      <c r="I974" s="388"/>
      <c r="J974" s="388"/>
      <c r="K974" s="388"/>
      <c r="L974" s="388"/>
      <c r="M974" s="388"/>
      <c r="N974" s="388"/>
      <c r="O974" s="388"/>
      <c r="P974" s="388"/>
      <c r="Q974" s="388"/>
      <c r="R974" s="388"/>
      <c r="S974" s="388"/>
      <c r="T974" s="388"/>
      <c r="U974" s="388"/>
      <c r="V974" s="388"/>
      <c r="AA974" s="256"/>
    </row>
    <row r="975">
      <c r="A975" s="388"/>
      <c r="B975" s="388"/>
      <c r="C975" s="388"/>
      <c r="D975" s="388"/>
      <c r="E975" s="388"/>
      <c r="F975" s="388"/>
      <c r="G975" s="388"/>
      <c r="H975" s="388"/>
      <c r="I975" s="388"/>
      <c r="J975" s="388"/>
      <c r="K975" s="388"/>
      <c r="L975" s="388"/>
      <c r="M975" s="388"/>
      <c r="N975" s="388"/>
      <c r="O975" s="388"/>
      <c r="P975" s="388"/>
      <c r="Q975" s="388"/>
      <c r="R975" s="388"/>
      <c r="S975" s="388"/>
      <c r="T975" s="388"/>
      <c r="U975" s="388"/>
      <c r="V975" s="388"/>
      <c r="AA975" s="256"/>
    </row>
    <row r="976">
      <c r="A976" s="388"/>
      <c r="B976" s="388"/>
      <c r="C976" s="388"/>
      <c r="D976" s="388"/>
      <c r="E976" s="388"/>
      <c r="F976" s="388"/>
      <c r="G976" s="388"/>
      <c r="H976" s="388"/>
      <c r="I976" s="388"/>
      <c r="J976" s="388"/>
      <c r="K976" s="388"/>
      <c r="L976" s="388"/>
      <c r="M976" s="388"/>
      <c r="N976" s="388"/>
      <c r="O976" s="388"/>
      <c r="P976" s="388"/>
      <c r="Q976" s="388"/>
      <c r="R976" s="388"/>
      <c r="S976" s="388"/>
      <c r="T976" s="388"/>
      <c r="U976" s="388"/>
      <c r="V976" s="388"/>
      <c r="AA976" s="256"/>
    </row>
    <row r="977">
      <c r="A977" s="388"/>
      <c r="B977" s="388"/>
      <c r="C977" s="388"/>
      <c r="D977" s="388"/>
      <c r="E977" s="388"/>
      <c r="F977" s="388"/>
      <c r="G977" s="388"/>
      <c r="H977" s="388"/>
      <c r="I977" s="388"/>
      <c r="J977" s="388"/>
      <c r="K977" s="388"/>
      <c r="L977" s="388"/>
      <c r="M977" s="388"/>
      <c r="N977" s="388"/>
      <c r="O977" s="388"/>
      <c r="P977" s="388"/>
      <c r="Q977" s="388"/>
      <c r="R977" s="388"/>
      <c r="S977" s="388"/>
      <c r="T977" s="388"/>
      <c r="U977" s="388"/>
      <c r="V977" s="388"/>
      <c r="AA977" s="256"/>
    </row>
    <row r="978">
      <c r="A978" s="388"/>
      <c r="B978" s="388"/>
      <c r="C978" s="388"/>
      <c r="D978" s="388"/>
      <c r="E978" s="388"/>
      <c r="F978" s="388"/>
      <c r="G978" s="388"/>
      <c r="H978" s="388"/>
      <c r="I978" s="388"/>
      <c r="J978" s="388"/>
      <c r="K978" s="388"/>
      <c r="L978" s="388"/>
      <c r="M978" s="388"/>
      <c r="N978" s="388"/>
      <c r="O978" s="388"/>
      <c r="P978" s="388"/>
      <c r="Q978" s="388"/>
      <c r="R978" s="388"/>
      <c r="S978" s="388"/>
      <c r="T978" s="388"/>
      <c r="U978" s="388"/>
      <c r="V978" s="388"/>
      <c r="AA978" s="256"/>
    </row>
    <row r="979">
      <c r="A979" s="388"/>
      <c r="B979" s="388"/>
      <c r="C979" s="388"/>
      <c r="D979" s="388"/>
      <c r="E979" s="388"/>
      <c r="F979" s="388"/>
      <c r="G979" s="388"/>
      <c r="H979" s="388"/>
      <c r="I979" s="388"/>
      <c r="J979" s="388"/>
      <c r="K979" s="388"/>
      <c r="L979" s="388"/>
      <c r="M979" s="388"/>
      <c r="N979" s="388"/>
      <c r="O979" s="388"/>
      <c r="P979" s="388"/>
      <c r="Q979" s="388"/>
      <c r="R979" s="388"/>
      <c r="S979" s="388"/>
      <c r="T979" s="388"/>
      <c r="U979" s="388"/>
      <c r="V979" s="388"/>
      <c r="AA979" s="256"/>
    </row>
    <row r="980">
      <c r="A980" s="388"/>
      <c r="B980" s="388"/>
      <c r="C980" s="388"/>
      <c r="D980" s="388"/>
      <c r="E980" s="388"/>
      <c r="F980" s="388"/>
      <c r="G980" s="388"/>
      <c r="H980" s="388"/>
      <c r="I980" s="388"/>
      <c r="J980" s="388"/>
      <c r="K980" s="388"/>
      <c r="L980" s="388"/>
      <c r="M980" s="388"/>
      <c r="N980" s="388"/>
      <c r="O980" s="388"/>
      <c r="P980" s="388"/>
      <c r="Q980" s="388"/>
      <c r="R980" s="388"/>
      <c r="S980" s="388"/>
      <c r="T980" s="388"/>
      <c r="U980" s="388"/>
      <c r="V980" s="388"/>
      <c r="AA980" s="256"/>
    </row>
    <row r="981">
      <c r="A981" s="388"/>
      <c r="B981" s="388"/>
      <c r="C981" s="388"/>
      <c r="D981" s="388"/>
      <c r="E981" s="388"/>
      <c r="F981" s="388"/>
      <c r="G981" s="388"/>
      <c r="H981" s="388"/>
      <c r="I981" s="388"/>
      <c r="J981" s="388"/>
      <c r="K981" s="388"/>
      <c r="L981" s="388"/>
      <c r="M981" s="388"/>
      <c r="N981" s="388"/>
      <c r="O981" s="388"/>
      <c r="P981" s="388"/>
      <c r="Q981" s="388"/>
      <c r="R981" s="388"/>
      <c r="S981" s="388"/>
      <c r="T981" s="388"/>
      <c r="U981" s="388"/>
      <c r="V981" s="388"/>
      <c r="AA981" s="256"/>
    </row>
    <row r="982">
      <c r="A982" s="388"/>
      <c r="B982" s="388"/>
      <c r="C982" s="388"/>
      <c r="D982" s="388"/>
      <c r="E982" s="388"/>
      <c r="F982" s="388"/>
      <c r="G982" s="388"/>
      <c r="H982" s="388"/>
      <c r="I982" s="388"/>
      <c r="J982" s="388"/>
      <c r="K982" s="388"/>
      <c r="L982" s="388"/>
      <c r="M982" s="388"/>
      <c r="N982" s="388"/>
      <c r="O982" s="388"/>
      <c r="P982" s="388"/>
      <c r="Q982" s="388"/>
      <c r="R982" s="388"/>
      <c r="S982" s="388"/>
      <c r="T982" s="388"/>
      <c r="U982" s="388"/>
      <c r="V982" s="388"/>
      <c r="AA982" s="256"/>
    </row>
    <row r="983">
      <c r="A983" s="388"/>
      <c r="B983" s="388"/>
      <c r="C983" s="388"/>
      <c r="D983" s="388"/>
      <c r="E983" s="388"/>
      <c r="F983" s="388"/>
      <c r="G983" s="388"/>
      <c r="H983" s="388"/>
      <c r="I983" s="388"/>
      <c r="J983" s="388"/>
      <c r="K983" s="388"/>
      <c r="L983" s="388"/>
      <c r="M983" s="388"/>
      <c r="N983" s="388"/>
      <c r="O983" s="388"/>
      <c r="P983" s="388"/>
      <c r="Q983" s="388"/>
      <c r="R983" s="388"/>
      <c r="S983" s="388"/>
      <c r="T983" s="388"/>
      <c r="U983" s="388"/>
      <c r="V983" s="388"/>
      <c r="AA983" s="256"/>
    </row>
    <row r="984">
      <c r="A984" s="388"/>
      <c r="B984" s="388"/>
      <c r="C984" s="388"/>
      <c r="D984" s="388"/>
      <c r="E984" s="388"/>
      <c r="F984" s="388"/>
      <c r="G984" s="388"/>
      <c r="H984" s="388"/>
      <c r="I984" s="388"/>
      <c r="J984" s="388"/>
      <c r="K984" s="388"/>
      <c r="L984" s="388"/>
      <c r="M984" s="388"/>
      <c r="N984" s="388"/>
      <c r="O984" s="388"/>
      <c r="P984" s="388"/>
      <c r="Q984" s="388"/>
      <c r="R984" s="388"/>
      <c r="S984" s="388"/>
      <c r="T984" s="388"/>
      <c r="U984" s="388"/>
      <c r="V984" s="388"/>
      <c r="AA984" s="256"/>
    </row>
    <row r="985">
      <c r="A985" s="388"/>
      <c r="B985" s="388"/>
      <c r="C985" s="388"/>
      <c r="D985" s="388"/>
      <c r="E985" s="388"/>
      <c r="F985" s="388"/>
      <c r="G985" s="388"/>
      <c r="H985" s="388"/>
      <c r="I985" s="388"/>
      <c r="J985" s="388"/>
      <c r="K985" s="388"/>
      <c r="L985" s="388"/>
      <c r="M985" s="388"/>
      <c r="N985" s="388"/>
      <c r="O985" s="388"/>
      <c r="P985" s="388"/>
      <c r="Q985" s="388"/>
      <c r="R985" s="388"/>
      <c r="S985" s="388"/>
      <c r="T985" s="388"/>
      <c r="U985" s="388"/>
      <c r="V985" s="388"/>
      <c r="AA985" s="256"/>
    </row>
    <row r="986">
      <c r="A986" s="388"/>
      <c r="B986" s="388"/>
      <c r="C986" s="388"/>
      <c r="D986" s="388"/>
      <c r="E986" s="388"/>
      <c r="F986" s="388"/>
      <c r="G986" s="388"/>
      <c r="H986" s="388"/>
      <c r="I986" s="388"/>
      <c r="J986" s="388"/>
      <c r="K986" s="388"/>
      <c r="L986" s="388"/>
      <c r="M986" s="388"/>
      <c r="N986" s="388"/>
      <c r="O986" s="388"/>
      <c r="P986" s="388"/>
      <c r="Q986" s="388"/>
      <c r="R986" s="388"/>
      <c r="S986" s="388"/>
      <c r="T986" s="388"/>
      <c r="U986" s="388"/>
      <c r="V986" s="388"/>
      <c r="AA986" s="256"/>
    </row>
    <row r="987">
      <c r="A987" s="388"/>
      <c r="B987" s="388"/>
      <c r="C987" s="388"/>
      <c r="D987" s="388"/>
      <c r="E987" s="388"/>
      <c r="F987" s="388"/>
      <c r="G987" s="388"/>
      <c r="H987" s="388"/>
      <c r="I987" s="388"/>
      <c r="J987" s="388"/>
      <c r="K987" s="388"/>
      <c r="L987" s="388"/>
      <c r="M987" s="388"/>
      <c r="N987" s="388"/>
      <c r="O987" s="388"/>
      <c r="P987" s="388"/>
      <c r="Q987" s="388"/>
      <c r="R987" s="388"/>
      <c r="S987" s="388"/>
      <c r="T987" s="388"/>
      <c r="U987" s="388"/>
      <c r="V987" s="388"/>
      <c r="AA987" s="256"/>
    </row>
    <row r="988">
      <c r="A988" s="388"/>
      <c r="B988" s="388"/>
      <c r="C988" s="388"/>
      <c r="D988" s="388"/>
      <c r="E988" s="388"/>
      <c r="F988" s="388"/>
      <c r="G988" s="388"/>
      <c r="H988" s="388"/>
      <c r="I988" s="388"/>
      <c r="J988" s="388"/>
      <c r="K988" s="388"/>
      <c r="L988" s="388"/>
      <c r="M988" s="388"/>
      <c r="N988" s="388"/>
      <c r="O988" s="388"/>
      <c r="P988" s="388"/>
      <c r="Q988" s="388"/>
      <c r="R988" s="388"/>
      <c r="S988" s="388"/>
      <c r="T988" s="388"/>
      <c r="U988" s="388"/>
      <c r="V988" s="388"/>
      <c r="AA988" s="256"/>
    </row>
    <row r="989">
      <c r="A989" s="388"/>
      <c r="B989" s="388"/>
      <c r="C989" s="388"/>
      <c r="D989" s="388"/>
      <c r="E989" s="388"/>
      <c r="F989" s="388"/>
      <c r="G989" s="388"/>
      <c r="H989" s="388"/>
      <c r="I989" s="388"/>
      <c r="J989" s="388"/>
      <c r="K989" s="388"/>
      <c r="L989" s="388"/>
      <c r="M989" s="388"/>
      <c r="N989" s="388"/>
      <c r="O989" s="388"/>
      <c r="P989" s="388"/>
      <c r="Q989" s="388"/>
      <c r="R989" s="388"/>
      <c r="S989" s="388"/>
      <c r="T989" s="388"/>
      <c r="U989" s="388"/>
      <c r="V989" s="388"/>
      <c r="AA989" s="256"/>
    </row>
    <row r="990">
      <c r="A990" s="388"/>
      <c r="B990" s="388"/>
      <c r="C990" s="388"/>
      <c r="D990" s="388"/>
      <c r="E990" s="388"/>
      <c r="F990" s="388"/>
      <c r="G990" s="388"/>
      <c r="H990" s="388"/>
      <c r="I990" s="388"/>
      <c r="J990" s="388"/>
      <c r="K990" s="388"/>
      <c r="L990" s="388"/>
      <c r="M990" s="388"/>
      <c r="N990" s="388"/>
      <c r="O990" s="388"/>
      <c r="P990" s="388"/>
      <c r="Q990" s="388"/>
      <c r="R990" s="388"/>
      <c r="S990" s="388"/>
      <c r="T990" s="388"/>
      <c r="U990" s="388"/>
      <c r="V990" s="388"/>
      <c r="AA990" s="256"/>
    </row>
    <row r="991">
      <c r="A991" s="388"/>
      <c r="B991" s="388"/>
      <c r="C991" s="388"/>
      <c r="D991" s="388"/>
      <c r="E991" s="388"/>
      <c r="F991" s="388"/>
      <c r="G991" s="388"/>
      <c r="H991" s="388"/>
      <c r="I991" s="388"/>
      <c r="J991" s="388"/>
      <c r="K991" s="388"/>
      <c r="L991" s="388"/>
      <c r="M991" s="388"/>
      <c r="N991" s="388"/>
      <c r="O991" s="388"/>
      <c r="P991" s="388"/>
      <c r="Q991" s="388"/>
      <c r="R991" s="388"/>
      <c r="S991" s="388"/>
      <c r="T991" s="388"/>
      <c r="U991" s="388"/>
      <c r="V991" s="388"/>
      <c r="AA991" s="256"/>
    </row>
    <row r="992">
      <c r="A992" s="388"/>
      <c r="B992" s="388"/>
      <c r="C992" s="388"/>
      <c r="D992" s="388"/>
      <c r="E992" s="388"/>
      <c r="F992" s="388"/>
      <c r="G992" s="388"/>
      <c r="H992" s="388"/>
      <c r="I992" s="388"/>
      <c r="J992" s="388"/>
      <c r="K992" s="388"/>
      <c r="L992" s="388"/>
      <c r="M992" s="388"/>
      <c r="N992" s="388"/>
      <c r="O992" s="388"/>
      <c r="P992" s="388"/>
      <c r="Q992" s="388"/>
      <c r="R992" s="388"/>
      <c r="S992" s="388"/>
      <c r="T992" s="388"/>
      <c r="U992" s="388"/>
      <c r="V992" s="388"/>
      <c r="AA992" s="256"/>
    </row>
    <row r="993">
      <c r="A993" s="388"/>
      <c r="B993" s="388"/>
      <c r="C993" s="388"/>
      <c r="D993" s="388"/>
      <c r="E993" s="388"/>
      <c r="F993" s="388"/>
      <c r="G993" s="388"/>
      <c r="H993" s="388"/>
      <c r="I993" s="388"/>
      <c r="J993" s="388"/>
      <c r="K993" s="388"/>
      <c r="L993" s="388"/>
      <c r="M993" s="388"/>
      <c r="N993" s="388"/>
      <c r="O993" s="388"/>
      <c r="P993" s="388"/>
      <c r="Q993" s="388"/>
      <c r="R993" s="388"/>
      <c r="S993" s="388"/>
      <c r="T993" s="388"/>
      <c r="U993" s="388"/>
      <c r="V993" s="388"/>
      <c r="AA993" s="256"/>
    </row>
    <row r="994">
      <c r="A994" s="388"/>
      <c r="B994" s="388"/>
      <c r="C994" s="388"/>
      <c r="D994" s="388"/>
      <c r="E994" s="388"/>
      <c r="F994" s="388"/>
      <c r="G994" s="388"/>
      <c r="H994" s="388"/>
      <c r="I994" s="388"/>
      <c r="J994" s="388"/>
      <c r="K994" s="388"/>
      <c r="L994" s="388"/>
      <c r="M994" s="388"/>
      <c r="N994" s="388"/>
      <c r="O994" s="388"/>
      <c r="P994" s="388"/>
      <c r="Q994" s="388"/>
      <c r="R994" s="388"/>
      <c r="S994" s="388"/>
      <c r="T994" s="388"/>
      <c r="U994" s="388"/>
      <c r="V994" s="388"/>
      <c r="AA994" s="256"/>
    </row>
    <row r="995">
      <c r="A995" s="388"/>
      <c r="B995" s="388"/>
      <c r="C995" s="388"/>
      <c r="D995" s="388"/>
      <c r="E995" s="388"/>
      <c r="F995" s="388"/>
      <c r="G995" s="388"/>
      <c r="H995" s="388"/>
      <c r="I995" s="388"/>
      <c r="J995" s="388"/>
      <c r="K995" s="388"/>
      <c r="L995" s="388"/>
      <c r="M995" s="388"/>
      <c r="N995" s="388"/>
      <c r="O995" s="388"/>
      <c r="P995" s="388"/>
      <c r="Q995" s="388"/>
      <c r="R995" s="388"/>
      <c r="S995" s="388"/>
      <c r="T995" s="388"/>
      <c r="U995" s="388"/>
      <c r="V995" s="388"/>
      <c r="AA995" s="256"/>
    </row>
    <row r="996">
      <c r="A996" s="388"/>
      <c r="B996" s="388"/>
      <c r="C996" s="388"/>
      <c r="D996" s="388"/>
      <c r="E996" s="388"/>
      <c r="F996" s="388"/>
      <c r="G996" s="388"/>
      <c r="H996" s="388"/>
      <c r="I996" s="388"/>
      <c r="J996" s="388"/>
      <c r="K996" s="388"/>
      <c r="L996" s="388"/>
      <c r="M996" s="388"/>
      <c r="N996" s="388"/>
      <c r="O996" s="388"/>
      <c r="P996" s="388"/>
      <c r="Q996" s="388"/>
      <c r="R996" s="388"/>
      <c r="S996" s="388"/>
      <c r="T996" s="388"/>
      <c r="U996" s="388"/>
      <c r="V996" s="388"/>
      <c r="AA996" s="256"/>
    </row>
    <row r="997">
      <c r="A997" s="388"/>
      <c r="B997" s="388"/>
      <c r="C997" s="388"/>
      <c r="D997" s="388"/>
      <c r="E997" s="388"/>
      <c r="F997" s="388"/>
      <c r="G997" s="388"/>
      <c r="H997" s="388"/>
      <c r="I997" s="388"/>
      <c r="J997" s="388"/>
      <c r="K997" s="388"/>
      <c r="L997" s="388"/>
      <c r="M997" s="388"/>
      <c r="N997" s="388"/>
      <c r="O997" s="388"/>
      <c r="P997" s="388"/>
      <c r="Q997" s="388"/>
      <c r="R997" s="388"/>
      <c r="S997" s="388"/>
      <c r="T997" s="388"/>
      <c r="U997" s="388"/>
      <c r="V997" s="388"/>
      <c r="AA997" s="256"/>
    </row>
    <row r="998">
      <c r="A998" s="388"/>
      <c r="B998" s="388"/>
      <c r="C998" s="388"/>
      <c r="D998" s="388"/>
      <c r="E998" s="388"/>
      <c r="F998" s="388"/>
      <c r="G998" s="388"/>
      <c r="H998" s="388"/>
      <c r="I998" s="388"/>
      <c r="J998" s="388"/>
      <c r="K998" s="388"/>
      <c r="L998" s="388"/>
      <c r="M998" s="388"/>
      <c r="N998" s="388"/>
      <c r="O998" s="388"/>
      <c r="P998" s="388"/>
      <c r="Q998" s="388"/>
      <c r="R998" s="388"/>
      <c r="S998" s="388"/>
      <c r="T998" s="388"/>
      <c r="U998" s="388"/>
      <c r="V998" s="388"/>
      <c r="AA998" s="256"/>
    </row>
    <row r="999">
      <c r="A999" s="388"/>
      <c r="B999" s="388"/>
      <c r="C999" s="388"/>
      <c r="D999" s="388"/>
      <c r="E999" s="388"/>
      <c r="F999" s="388"/>
      <c r="G999" s="388"/>
      <c r="H999" s="388"/>
      <c r="I999" s="388"/>
      <c r="J999" s="388"/>
      <c r="K999" s="388"/>
      <c r="L999" s="388"/>
      <c r="M999" s="388"/>
      <c r="N999" s="388"/>
      <c r="O999" s="388"/>
      <c r="P999" s="388"/>
      <c r="Q999" s="388"/>
      <c r="R999" s="388"/>
      <c r="S999" s="388"/>
      <c r="T999" s="388"/>
      <c r="U999" s="388"/>
      <c r="V999" s="388"/>
      <c r="AA999" s="256"/>
    </row>
    <row r="1000">
      <c r="A1000" s="388"/>
      <c r="B1000" s="388"/>
      <c r="C1000" s="388"/>
      <c r="D1000" s="388"/>
      <c r="E1000" s="388"/>
      <c r="F1000" s="388"/>
      <c r="G1000" s="388"/>
      <c r="H1000" s="388"/>
      <c r="I1000" s="388"/>
      <c r="J1000" s="388"/>
      <c r="K1000" s="388"/>
      <c r="L1000" s="388"/>
      <c r="M1000" s="388"/>
      <c r="N1000" s="388"/>
      <c r="O1000" s="388"/>
      <c r="P1000" s="388"/>
      <c r="Q1000" s="388"/>
      <c r="R1000" s="388"/>
      <c r="S1000" s="388"/>
      <c r="T1000" s="388"/>
      <c r="U1000" s="388"/>
      <c r="V1000" s="388"/>
      <c r="AA1000" s="256"/>
    </row>
  </sheetData>
  <mergeCells count="1">
    <mergeCell ref="A1:V1"/>
  </mergeCells>
  <conditionalFormatting sqref="X2:AE1000">
    <cfRule type="expression" dxfId="2" priority="1">
      <formula>$Z2="Parker"</formula>
    </cfRule>
  </conditionalFormatting>
  <conditionalFormatting sqref="X2:AE1000">
    <cfRule type="expression" dxfId="3" priority="2">
      <formula>$Z2="Giacomo"</formula>
    </cfRule>
  </conditionalFormatting>
  <conditionalFormatting sqref="X2:AE1000">
    <cfRule type="expression" dxfId="1" priority="3">
      <formula>$Z2="Logan"</formula>
    </cfRule>
  </conditionalFormatting>
  <conditionalFormatting sqref="X2:AE1000">
    <cfRule type="expression" dxfId="4" priority="4">
      <formula>$Z2="Rosey"</formula>
    </cfRule>
  </conditionalFormatting>
  <conditionalFormatting sqref="X2:AE1000">
    <cfRule type="expression" dxfId="5" priority="5">
      <formula>$Z2="TTAC"</formula>
    </cfRule>
  </conditionalFormatting>
  <conditionalFormatting sqref="X2:AE1000">
    <cfRule type="expression" dxfId="6" priority="6">
      <formula>$Z2="Weston"</formula>
    </cfRule>
  </conditionalFormatting>
  <conditionalFormatting sqref="X2:AE1000">
    <cfRule type="expression" dxfId="7" priority="7">
      <formula>$Z2="Jake"</formula>
    </cfRule>
  </conditionalFormatting>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2024-06-13T19:50:41Z</dcterms:created>
  <dc:creator>Worsdell, Logan T (US)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2bc7c3-f152-4da1-98bd-f7a1bebdf752_Enabled">
    <vt:lpwstr>true</vt:lpwstr>
  </property>
  <property fmtid="{D5CDD505-2E9C-101B-9397-08002B2CF9AE}" pid="3" name="MSIP_Label_502bc7c3-f152-4da1-98bd-f7a1bebdf752_SetDate">
    <vt:lpwstr>2024-06-13T21:02:25Z</vt:lpwstr>
  </property>
  <property fmtid="{D5CDD505-2E9C-101B-9397-08002B2CF9AE}" pid="4" name="MSIP_Label_502bc7c3-f152-4da1-98bd-f7a1bebdf752_Method">
    <vt:lpwstr>Privileged</vt:lpwstr>
  </property>
  <property fmtid="{D5CDD505-2E9C-101B-9397-08002B2CF9AE}" pid="5" name="MSIP_Label_502bc7c3-f152-4da1-98bd-f7a1bebdf752_Name">
    <vt:lpwstr>Unrestricted</vt:lpwstr>
  </property>
  <property fmtid="{D5CDD505-2E9C-101B-9397-08002B2CF9AE}" pid="6" name="MSIP_Label_502bc7c3-f152-4da1-98bd-f7a1bebdf752_SiteId">
    <vt:lpwstr>b18f006c-b0fc-467d-b23a-a35b5695b5dc</vt:lpwstr>
  </property>
  <property fmtid="{D5CDD505-2E9C-101B-9397-08002B2CF9AE}" pid="7" name="MSIP_Label_502bc7c3-f152-4da1-98bd-f7a1bebdf752_ActionId">
    <vt:lpwstr>df1d82a8-767e-4123-8fce-49d872f88228</vt:lpwstr>
  </property>
  <property fmtid="{D5CDD505-2E9C-101B-9397-08002B2CF9AE}" pid="8" name="MSIP_Label_502bc7c3-f152-4da1-98bd-f7a1bebdf752_ContentBits">
    <vt:lpwstr>0</vt:lpwstr>
  </property>
</Properties>
</file>