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fon\MASTER\MODUL POSLOVNI KONSALTING\Modeliranje i simulacija u poslovnoj analitici\Seminarski rad\Moj seminarski\KONACNA VERZIJA\"/>
    </mc:Choice>
  </mc:AlternateContent>
  <bookViews>
    <workbookView xWindow="0" yWindow="0" windowWidth="10455" windowHeight="8970" activeTab="3"/>
  </bookViews>
  <sheets>
    <sheet name="Sheet1" sheetId="1" r:id="rId1"/>
    <sheet name="Analiza osetljivosti" sheetId="2" r:id="rId2"/>
    <sheet name="Spineri" sheetId="3" r:id="rId3"/>
    <sheet name="Solver" sheetId="4" r:id="rId4"/>
  </sheets>
  <definedNames>
    <definedName name="solver_adj" localSheetId="0" hidden="1">Sheet1!$D$167:$D$168</definedName>
    <definedName name="solver_adj" localSheetId="3" hidden="1">Solver!$E$26:$I$26,Solver!$E$29:$I$29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1</definedName>
    <definedName name="solver_eng" localSheetId="0" hidden="1">1</definedName>
    <definedName name="solver_eng" localSheetId="3" hidden="1">1</definedName>
    <definedName name="solver_est" localSheetId="0" hidden="1">1</definedName>
    <definedName name="solver_est" localSheetId="3" hidden="1">1</definedName>
    <definedName name="solver_itr" localSheetId="0" hidden="1">100</definedName>
    <definedName name="solver_itr" localSheetId="3" hidden="1">2147483647</definedName>
    <definedName name="solver_lhs1" localSheetId="0" hidden="1">Sheet1!$D$168</definedName>
    <definedName name="solver_lhs1" localSheetId="3" hidden="1">Solver!$E$26:$I$26</definedName>
    <definedName name="solver_lhs2" localSheetId="0" hidden="1">Sheet1!$E$168</definedName>
    <definedName name="solver_lhs2" localSheetId="3" hidden="1">Solver!$E$29:$I$29</definedName>
    <definedName name="solver_lhs3" localSheetId="0" hidden="1">Sheet1!$H$167</definedName>
    <definedName name="solver_lhs3" localSheetId="3" hidden="1">Solver!$J$26</definedName>
    <definedName name="solver_lhs4" localSheetId="0" hidden="1">Sheet1!$H$167</definedName>
    <definedName name="solver_lhs4" localSheetId="3" hidden="1">Solver!$J$29</definedName>
    <definedName name="solver_lhs5" localSheetId="0" hidden="1">Sheet1!$H$167</definedName>
    <definedName name="solver_mip" localSheetId="0" hidden="1">2147483647</definedName>
    <definedName name="solver_mip" localSheetId="3" hidden="1">2147483647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2</definedName>
    <definedName name="solver_msl" localSheetId="3" hidden="1">2</definedName>
    <definedName name="solver_neg" localSheetId="0" hidden="1">1</definedName>
    <definedName name="solver_neg" localSheetId="3" hidden="1">1</definedName>
    <definedName name="solver_nod" localSheetId="0" hidden="1">2147483647</definedName>
    <definedName name="solver_nod" localSheetId="3" hidden="1">2147483647</definedName>
    <definedName name="solver_num" localSheetId="0" hidden="1">2</definedName>
    <definedName name="solver_num" localSheetId="3" hidden="1">4</definedName>
    <definedName name="solver_nwt" localSheetId="0" hidden="1">1</definedName>
    <definedName name="solver_nwt" localSheetId="3" hidden="1">1</definedName>
    <definedName name="solver_opt" localSheetId="0" hidden="1">Sheet1!$D$172</definedName>
    <definedName name="solver_opt" localSheetId="3" hidden="1">Solver!$J$27</definedName>
    <definedName name="solver_pre" localSheetId="0" hidden="1">0.000001</definedName>
    <definedName name="solver_pre" localSheetId="3" hidden="1">0.000001</definedName>
    <definedName name="solver_rbv" localSheetId="0" hidden="1">2</definedName>
    <definedName name="solver_rbv" localSheetId="3" hidden="1">1</definedName>
    <definedName name="solver_rel1" localSheetId="0" hidden="1">3</definedName>
    <definedName name="solver_rel1" localSheetId="3" hidden="1">1</definedName>
    <definedName name="solver_rel2" localSheetId="0" hidden="1">3</definedName>
    <definedName name="solver_rel2" localSheetId="3" hidden="1">1</definedName>
    <definedName name="solver_rel3" localSheetId="0" hidden="1">1</definedName>
    <definedName name="solver_rel3" localSheetId="3" hidden="1">1</definedName>
    <definedName name="solver_rel4" localSheetId="0" hidden="1">1</definedName>
    <definedName name="solver_rel4" localSheetId="3" hidden="1">1</definedName>
    <definedName name="solver_rel5" localSheetId="0" hidden="1">1</definedName>
    <definedName name="solver_rhs1" localSheetId="0" hidden="1">40</definedName>
    <definedName name="solver_rhs1" localSheetId="3" hidden="1">Solver!$E$30:$I$30</definedName>
    <definedName name="solver_rhs2" localSheetId="0" hidden="1">41</definedName>
    <definedName name="solver_rhs2" localSheetId="3" hidden="1">Solver!$I$31</definedName>
    <definedName name="solver_rhs3" localSheetId="0" hidden="1">240</definedName>
    <definedName name="solver_rhs3" localSheetId="3" hidden="1">Solver!$K$26</definedName>
    <definedName name="solver_rhs4" localSheetId="0" hidden="1">240</definedName>
    <definedName name="solver_rhs4" localSheetId="3" hidden="1">Solver!$K$29</definedName>
    <definedName name="solver_rhs5" localSheetId="0" hidden="1">215</definedName>
    <definedName name="solver_rlx" localSheetId="0" hidden="1">2</definedName>
    <definedName name="solver_rlx" localSheetId="3" hidden="1">2</definedName>
    <definedName name="solver_rsd" localSheetId="0" hidden="1">0</definedName>
    <definedName name="solver_rsd" localSheetId="3" hidden="1">0</definedName>
    <definedName name="solver_scl" localSheetId="0" hidden="1">2</definedName>
    <definedName name="solver_scl" localSheetId="3" hidden="1">1</definedName>
    <definedName name="solver_sho" localSheetId="0" hidden="1">2</definedName>
    <definedName name="solver_sho" localSheetId="3" hidden="1">2</definedName>
    <definedName name="solver_ssz" localSheetId="0" hidden="1">0</definedName>
    <definedName name="solver_ssz" localSheetId="3" hidden="1">100</definedName>
    <definedName name="solver_tim" localSheetId="0" hidden="1">100</definedName>
    <definedName name="solver_tim" localSheetId="3" hidden="1">2147483647</definedName>
    <definedName name="solver_tol" localSheetId="0" hidden="1">0</definedName>
    <definedName name="solver_tol" localSheetId="3" hidden="1">0</definedName>
    <definedName name="solver_typ" localSheetId="0" hidden="1">1</definedName>
    <definedName name="solver_typ" localSheetId="3" hidden="1">1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</definedNames>
  <calcPr calcId="152511" iterate="1" iterateDelta="0.0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9" i="1" l="1"/>
  <c r="F199" i="1"/>
  <c r="G199" i="1"/>
  <c r="H199" i="1"/>
  <c r="I199" i="1"/>
  <c r="J199" i="1"/>
  <c r="K199" i="1"/>
  <c r="D199" i="1"/>
  <c r="F200" i="1"/>
  <c r="G200" i="1"/>
  <c r="H200" i="1"/>
  <c r="I200" i="1"/>
  <c r="J200" i="1"/>
  <c r="K200" i="1"/>
  <c r="E200" i="1"/>
  <c r="D200" i="1"/>
  <c r="D201" i="1"/>
  <c r="K29" i="4" l="1"/>
  <c r="W17" i="4" l="1"/>
  <c r="W18" i="4"/>
  <c r="W16" i="4"/>
  <c r="W29" i="4" l="1"/>
  <c r="V31" i="4"/>
  <c r="J31" i="4"/>
  <c r="V29" i="4"/>
  <c r="V27" i="4"/>
  <c r="V28" i="4"/>
  <c r="V30" i="4"/>
  <c r="V26" i="4"/>
  <c r="R31" i="4"/>
  <c r="S31" i="4"/>
  <c r="T31" i="4"/>
  <c r="U31" i="4"/>
  <c r="Q31" i="4"/>
  <c r="R30" i="4"/>
  <c r="S30" i="4"/>
  <c r="T30" i="4"/>
  <c r="U30" i="4"/>
  <c r="Q30" i="4"/>
  <c r="R28" i="4"/>
  <c r="S28" i="4"/>
  <c r="T28" i="4"/>
  <c r="U28" i="4"/>
  <c r="Q28" i="4"/>
  <c r="R27" i="4"/>
  <c r="S27" i="4"/>
  <c r="T27" i="4"/>
  <c r="U27" i="4"/>
  <c r="Q27" i="4"/>
  <c r="R26" i="4"/>
  <c r="S26" i="4"/>
  <c r="T26" i="4"/>
  <c r="U26" i="4"/>
  <c r="Q26" i="4"/>
  <c r="Q22" i="4"/>
  <c r="J30" i="4"/>
  <c r="H28" i="4"/>
  <c r="F31" i="4"/>
  <c r="G31" i="4"/>
  <c r="H31" i="4"/>
  <c r="I31" i="4"/>
  <c r="E31" i="4"/>
  <c r="J26" i="4"/>
  <c r="F30" i="4"/>
  <c r="G30" i="4"/>
  <c r="H30" i="4"/>
  <c r="I30" i="4"/>
  <c r="E30" i="4"/>
  <c r="F27" i="4"/>
  <c r="G27" i="4"/>
  <c r="H27" i="4"/>
  <c r="I27" i="4"/>
  <c r="E27" i="4"/>
  <c r="K17" i="4"/>
  <c r="K16" i="4"/>
  <c r="S18" i="4"/>
  <c r="T18" i="4"/>
  <c r="U18" i="4"/>
  <c r="R18" i="4"/>
  <c r="Q18" i="4"/>
  <c r="G18" i="4"/>
  <c r="G28" i="4" s="1"/>
  <c r="H18" i="4"/>
  <c r="I18" i="4"/>
  <c r="I28" i="4" s="1"/>
  <c r="F18" i="4"/>
  <c r="F28" i="4" s="1"/>
  <c r="E18" i="4"/>
  <c r="E22" i="4" s="1"/>
  <c r="J29" i="4" s="1"/>
  <c r="D140" i="1"/>
  <c r="I139" i="1"/>
  <c r="G139" i="1"/>
  <c r="D139" i="1"/>
  <c r="N54" i="1"/>
  <c r="K18" i="4" l="1"/>
  <c r="E28" i="4"/>
  <c r="J28" i="4" s="1"/>
  <c r="J27" i="4"/>
  <c r="E11" i="3"/>
  <c r="E10" i="3"/>
  <c r="N10" i="3" l="1"/>
  <c r="R10" i="3" s="1"/>
  <c r="E9" i="3"/>
  <c r="N9" i="3" s="1"/>
  <c r="R9" i="3" s="1"/>
  <c r="N11" i="3"/>
  <c r="R11" i="3" s="1"/>
  <c r="N8" i="3"/>
  <c r="R8" i="3" s="1"/>
  <c r="E13" i="3" l="1"/>
  <c r="G286" i="1" l="1"/>
  <c r="L75" i="1" l="1"/>
  <c r="D253" i="1" l="1"/>
  <c r="K222" i="1" l="1"/>
  <c r="J222" i="1"/>
  <c r="I222" i="1"/>
  <c r="H222" i="1"/>
  <c r="G222" i="1"/>
  <c r="F222" i="1"/>
  <c r="E222" i="1"/>
  <c r="D222" i="1"/>
  <c r="H138" i="1" l="1"/>
  <c r="H137" i="1"/>
  <c r="H136" i="1"/>
  <c r="H135" i="1"/>
  <c r="D138" i="1"/>
  <c r="G138" i="1" s="1"/>
  <c r="D137" i="1"/>
  <c r="G137" i="1" s="1"/>
  <c r="D136" i="1"/>
  <c r="G136" i="1" s="1"/>
  <c r="D135" i="1"/>
  <c r="G135" i="1" s="1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A17" i="2" s="1"/>
  <c r="E16" i="2"/>
  <c r="E18" i="2" s="1"/>
  <c r="E24" i="2" s="1"/>
  <c r="I135" i="1" l="1"/>
  <c r="I137" i="1"/>
  <c r="I136" i="1"/>
  <c r="I138" i="1"/>
  <c r="E19" i="2"/>
  <c r="F16" i="2" s="1"/>
  <c r="F18" i="2" s="1"/>
  <c r="F24" i="2" s="1"/>
  <c r="H77" i="1"/>
  <c r="G77" i="1"/>
  <c r="F77" i="1"/>
  <c r="E77" i="1"/>
  <c r="H74" i="1"/>
  <c r="G74" i="1"/>
  <c r="F74" i="1"/>
  <c r="E74" i="1"/>
  <c r="D74" i="1"/>
  <c r="N62" i="1"/>
  <c r="N59" i="1"/>
  <c r="N58" i="1"/>
  <c r="N61" i="1"/>
  <c r="N56" i="1"/>
  <c r="N55" i="1"/>
  <c r="N53" i="1"/>
  <c r="N52" i="1"/>
  <c r="N51" i="1"/>
  <c r="D255" i="1" s="1"/>
  <c r="D256" i="1" s="1"/>
  <c r="O38" i="1"/>
  <c r="N38" i="1"/>
  <c r="M38" i="1"/>
  <c r="L49" i="1" s="1"/>
  <c r="L50" i="1" s="1"/>
  <c r="L38" i="1"/>
  <c r="K49" i="1" s="1"/>
  <c r="K50" i="1" s="1"/>
  <c r="K38" i="1"/>
  <c r="J49" i="1" s="1"/>
  <c r="J50" i="1" s="1"/>
  <c r="J38" i="1"/>
  <c r="I49" i="1" s="1"/>
  <c r="I50" i="1" s="1"/>
  <c r="I38" i="1"/>
  <c r="H49" i="1" s="1"/>
  <c r="H50" i="1" s="1"/>
  <c r="H38" i="1"/>
  <c r="G49" i="1" s="1"/>
  <c r="G50" i="1" s="1"/>
  <c r="G38" i="1"/>
  <c r="F49" i="1" s="1"/>
  <c r="F50" i="1" s="1"/>
  <c r="F38" i="1"/>
  <c r="E49" i="1" s="1"/>
  <c r="E38" i="1"/>
  <c r="D38" i="1"/>
  <c r="H23" i="1"/>
  <c r="H22" i="1"/>
  <c r="H21" i="1"/>
  <c r="G21" i="1"/>
  <c r="G17" i="1"/>
  <c r="E21" i="1"/>
  <c r="F21" i="1"/>
  <c r="F17" i="1"/>
  <c r="E17" i="1"/>
  <c r="D17" i="1"/>
  <c r="D19" i="1"/>
  <c r="D21" i="1" s="1"/>
  <c r="D260" i="1" l="1"/>
  <c r="O290" i="1" s="1"/>
  <c r="F25" i="1"/>
  <c r="F73" i="1" s="1"/>
  <c r="F75" i="1" s="1"/>
  <c r="F19" i="2"/>
  <c r="F32" i="2" s="1"/>
  <c r="E32" i="2"/>
  <c r="E25" i="1"/>
  <c r="E73" i="1" s="1"/>
  <c r="E75" i="1" s="1"/>
  <c r="E50" i="1"/>
  <c r="M49" i="1"/>
  <c r="G25" i="1"/>
  <c r="G73" i="1" s="1"/>
  <c r="G75" i="1" s="1"/>
  <c r="D25" i="1"/>
  <c r="D73" i="1" s="1"/>
  <c r="D75" i="1" s="1"/>
  <c r="H17" i="1"/>
  <c r="H25" i="1" s="1"/>
  <c r="H73" i="1" s="1"/>
  <c r="H75" i="1" s="1"/>
  <c r="J197" i="1" l="1"/>
  <c r="H197" i="1"/>
  <c r="F197" i="1"/>
  <c r="K197" i="1"/>
  <c r="I197" i="1"/>
  <c r="G197" i="1"/>
  <c r="E197" i="1"/>
  <c r="D197" i="1"/>
  <c r="D63" i="1"/>
  <c r="N63" i="1" s="1"/>
  <c r="B73" i="1" s="1"/>
  <c r="F78" i="1" s="1"/>
  <c r="G76" i="1"/>
  <c r="E76" i="1"/>
  <c r="F76" i="1"/>
  <c r="H76" i="1"/>
  <c r="D76" i="1"/>
  <c r="E78" i="1"/>
  <c r="E79" i="1" s="1"/>
  <c r="E80" i="1" s="1"/>
  <c r="G16" i="2"/>
  <c r="G18" i="2" s="1"/>
  <c r="G24" i="2" s="1"/>
  <c r="M50" i="1"/>
  <c r="N50" i="1" s="1"/>
  <c r="N49" i="1"/>
  <c r="D78" i="1" l="1"/>
  <c r="D79" i="1" s="1"/>
  <c r="D80" i="1" s="1"/>
  <c r="F79" i="1"/>
  <c r="F80" i="1" s="1"/>
  <c r="F87" i="1" s="1"/>
  <c r="F89" i="1" s="1"/>
  <c r="F90" i="1" s="1"/>
  <c r="H78" i="1"/>
  <c r="H79" i="1" s="1"/>
  <c r="H80" i="1" s="1"/>
  <c r="H87" i="1" s="1"/>
  <c r="H89" i="1" s="1"/>
  <c r="H90" i="1" s="1"/>
  <c r="G78" i="1"/>
  <c r="G79" i="1" s="1"/>
  <c r="G80" i="1" s="1"/>
  <c r="D67" i="1"/>
  <c r="L74" i="1" s="1"/>
  <c r="L76" i="1" s="1"/>
  <c r="V48" i="1" s="1"/>
  <c r="V50" i="1" s="1"/>
  <c r="V52" i="1" s="1"/>
  <c r="D99" i="1" s="1"/>
  <c r="E87" i="1"/>
  <c r="E89" i="1" s="1"/>
  <c r="E90" i="1" s="1"/>
  <c r="G19" i="2"/>
  <c r="H16" i="2" s="1"/>
  <c r="H18" i="2" s="1"/>
  <c r="H24" i="2" s="1"/>
  <c r="G87" i="1" l="1"/>
  <c r="G89" i="1" s="1"/>
  <c r="G90" i="1" s="1"/>
  <c r="H192" i="1" s="1"/>
  <c r="D187" i="1"/>
  <c r="T106" i="1"/>
  <c r="R106" i="1"/>
  <c r="P106" i="1"/>
  <c r="N106" i="1"/>
  <c r="L106" i="1"/>
  <c r="J106" i="1"/>
  <c r="H106" i="1"/>
  <c r="F106" i="1"/>
  <c r="D106" i="1"/>
  <c r="D105" i="1"/>
  <c r="D107" i="1" s="1"/>
  <c r="S106" i="1"/>
  <c r="Q106" i="1"/>
  <c r="O106" i="1"/>
  <c r="M106" i="1"/>
  <c r="K106" i="1"/>
  <c r="I106" i="1"/>
  <c r="G106" i="1"/>
  <c r="E106" i="1"/>
  <c r="U106" i="1"/>
  <c r="I193" i="1"/>
  <c r="G193" i="1"/>
  <c r="K193" i="1"/>
  <c r="D193" i="1"/>
  <c r="H193" i="1"/>
  <c r="F193" i="1"/>
  <c r="J193" i="1"/>
  <c r="E193" i="1"/>
  <c r="H190" i="1"/>
  <c r="F190" i="1"/>
  <c r="J190" i="1"/>
  <c r="E190" i="1"/>
  <c r="I190" i="1"/>
  <c r="G190" i="1"/>
  <c r="K190" i="1"/>
  <c r="D190" i="1"/>
  <c r="F192" i="1"/>
  <c r="E192" i="1"/>
  <c r="G192" i="1"/>
  <c r="D192" i="1"/>
  <c r="I191" i="1"/>
  <c r="G191" i="1"/>
  <c r="K191" i="1"/>
  <c r="D191" i="1"/>
  <c r="H191" i="1"/>
  <c r="F191" i="1"/>
  <c r="J191" i="1"/>
  <c r="E191" i="1"/>
  <c r="K196" i="1"/>
  <c r="I196" i="1"/>
  <c r="G196" i="1"/>
  <c r="E196" i="1"/>
  <c r="D196" i="1"/>
  <c r="J196" i="1"/>
  <c r="H196" i="1"/>
  <c r="F196" i="1"/>
  <c r="D87" i="1"/>
  <c r="D89" i="1" s="1"/>
  <c r="D90" i="1" s="1"/>
  <c r="H19" i="2"/>
  <c r="H32" i="2" s="1"/>
  <c r="G32" i="2"/>
  <c r="K192" i="1" l="1"/>
  <c r="I192" i="1"/>
  <c r="J192" i="1"/>
  <c r="D261" i="1"/>
  <c r="O288" i="1" s="1"/>
  <c r="J198" i="1"/>
  <c r="F198" i="1"/>
  <c r="K198" i="1"/>
  <c r="G198" i="1"/>
  <c r="D111" i="1"/>
  <c r="D198" i="1"/>
  <c r="I198" i="1"/>
  <c r="E198" i="1"/>
  <c r="H198" i="1"/>
  <c r="D263" i="1"/>
  <c r="O289" i="1" s="1"/>
  <c r="D108" i="1"/>
  <c r="E105" i="1" s="1"/>
  <c r="E107" i="1" s="1"/>
  <c r="E108" i="1" s="1"/>
  <c r="F105" i="1" s="1"/>
  <c r="F107" i="1" s="1"/>
  <c r="F108" i="1" s="1"/>
  <c r="G105" i="1" s="1"/>
  <c r="G107" i="1" s="1"/>
  <c r="G108" i="1" s="1"/>
  <c r="H105" i="1" s="1"/>
  <c r="H107" i="1" s="1"/>
  <c r="H108" i="1" s="1"/>
  <c r="I105" i="1" s="1"/>
  <c r="I107" i="1" s="1"/>
  <c r="I108" i="1" s="1"/>
  <c r="J105" i="1" s="1"/>
  <c r="J107" i="1" s="1"/>
  <c r="J108" i="1" s="1"/>
  <c r="K105" i="1" s="1"/>
  <c r="I189" i="1"/>
  <c r="I194" i="1" s="1"/>
  <c r="G189" i="1"/>
  <c r="G194" i="1" s="1"/>
  <c r="K189" i="1"/>
  <c r="D189" i="1"/>
  <c r="D194" i="1" s="1"/>
  <c r="H189" i="1"/>
  <c r="H194" i="1" s="1"/>
  <c r="F189" i="1"/>
  <c r="F194" i="1" s="1"/>
  <c r="J189" i="1"/>
  <c r="E189" i="1"/>
  <c r="E194" i="1" s="1"/>
  <c r="I16" i="2"/>
  <c r="I18" i="2" s="1"/>
  <c r="I24" i="2" s="1"/>
  <c r="K107" i="1"/>
  <c r="K108" i="1" s="1"/>
  <c r="J194" i="1" l="1"/>
  <c r="K194" i="1"/>
  <c r="S286" i="1" s="1"/>
  <c r="K287" i="1"/>
  <c r="L105" i="1"/>
  <c r="O291" i="1"/>
  <c r="K286" i="1"/>
  <c r="D251" i="1"/>
  <c r="D254" i="1" s="1"/>
  <c r="I19" i="2"/>
  <c r="J16" i="2" s="1"/>
  <c r="J18" i="2" s="1"/>
  <c r="L107" i="1"/>
  <c r="L108" i="1" s="1"/>
  <c r="M105" i="1" s="1"/>
  <c r="K288" i="1" l="1"/>
  <c r="D286" i="1"/>
  <c r="D257" i="1"/>
  <c r="I32" i="2"/>
  <c r="J19" i="2"/>
  <c r="J24" i="2"/>
  <c r="M107" i="1"/>
  <c r="M108" i="1" s="1"/>
  <c r="N105" i="1" s="1"/>
  <c r="E187" i="1" l="1"/>
  <c r="E201" i="1" s="1"/>
  <c r="D221" i="1"/>
  <c r="D289" i="1"/>
  <c r="G290" i="1"/>
  <c r="S288" i="1"/>
  <c r="S290" i="1" s="1"/>
  <c r="E302" i="1" s="1"/>
  <c r="D312" i="1" s="1"/>
  <c r="K290" i="1"/>
  <c r="K292" i="1" s="1"/>
  <c r="E300" i="1" s="1"/>
  <c r="D310" i="1" s="1"/>
  <c r="K16" i="2"/>
  <c r="K18" i="2" s="1"/>
  <c r="J32" i="2"/>
  <c r="N107" i="1"/>
  <c r="N108" i="1" s="1"/>
  <c r="O105" i="1" s="1"/>
  <c r="D262" i="1" s="1"/>
  <c r="D287" i="1" s="1"/>
  <c r="D223" i="1" l="1"/>
  <c r="F187" i="1"/>
  <c r="F201" i="1" s="1"/>
  <c r="E221" i="1"/>
  <c r="E223" i="1" s="1"/>
  <c r="D264" i="1"/>
  <c r="G287" i="1" s="1"/>
  <c r="G288" i="1" s="1"/>
  <c r="G292" i="1" s="1"/>
  <c r="E299" i="1" s="1"/>
  <c r="D309" i="1" s="1"/>
  <c r="D291" i="1"/>
  <c r="E298" i="1" s="1"/>
  <c r="D308" i="1" s="1"/>
  <c r="O286" i="1"/>
  <c r="O293" i="1" s="1"/>
  <c r="E301" i="1" s="1"/>
  <c r="D311" i="1" s="1"/>
  <c r="K19" i="2"/>
  <c r="K24" i="2"/>
  <c r="O107" i="1"/>
  <c r="O108" i="1" s="1"/>
  <c r="P105" i="1" s="1"/>
  <c r="G187" i="1" l="1"/>
  <c r="G201" i="1" s="1"/>
  <c r="F221" i="1"/>
  <c r="F223" i="1" s="1"/>
  <c r="D265" i="1"/>
  <c r="D313" i="1"/>
  <c r="L16" i="2"/>
  <c r="K32" i="2"/>
  <c r="P107" i="1"/>
  <c r="P108" i="1" s="1"/>
  <c r="Q105" i="1" s="1"/>
  <c r="H187" i="1" l="1"/>
  <c r="H201" i="1" s="1"/>
  <c r="G221" i="1"/>
  <c r="L18" i="2"/>
  <c r="Q107" i="1"/>
  <c r="Q108" i="1" s="1"/>
  <c r="R105" i="1" s="1"/>
  <c r="I187" i="1" l="1"/>
  <c r="I201" i="1" s="1"/>
  <c r="H221" i="1"/>
  <c r="H223" i="1" s="1"/>
  <c r="G223" i="1"/>
  <c r="L24" i="2"/>
  <c r="L19" i="2"/>
  <c r="R107" i="1"/>
  <c r="R108" i="1" s="1"/>
  <c r="S105" i="1" s="1"/>
  <c r="J187" i="1" l="1"/>
  <c r="J201" i="1" s="1"/>
  <c r="I221" i="1"/>
  <c r="L32" i="2"/>
  <c r="M16" i="2"/>
  <c r="M18" i="2" s="1"/>
  <c r="S107" i="1"/>
  <c r="S108" i="1" s="1"/>
  <c r="T105" i="1" s="1"/>
  <c r="I223" i="1" l="1"/>
  <c r="K187" i="1"/>
  <c r="K201" i="1" s="1"/>
  <c r="K221" i="1" s="1"/>
  <c r="K223" i="1" s="1"/>
  <c r="J221" i="1"/>
  <c r="J223" i="1" s="1"/>
  <c r="M19" i="2"/>
  <c r="M24" i="2"/>
  <c r="T107" i="1"/>
  <c r="T108" i="1" s="1"/>
  <c r="U105" i="1" s="1"/>
  <c r="D229" i="1" l="1"/>
  <c r="D228" i="1"/>
  <c r="N16" i="2"/>
  <c r="N18" i="2" s="1"/>
  <c r="M32" i="2"/>
  <c r="U107" i="1"/>
  <c r="U108" i="1" s="1"/>
  <c r="N19" i="2" l="1"/>
  <c r="N24" i="2"/>
  <c r="O16" i="2" l="1"/>
  <c r="O18" i="2" s="1"/>
  <c r="N32" i="2"/>
  <c r="O19" i="2" l="1"/>
  <c r="O24" i="2"/>
  <c r="P16" i="2" l="1"/>
  <c r="P18" i="2" s="1"/>
  <c r="O32" i="2"/>
  <c r="P19" i="2" l="1"/>
  <c r="P24" i="2"/>
  <c r="Q16" i="2" l="1"/>
  <c r="Q18" i="2" s="1"/>
  <c r="P32" i="2"/>
  <c r="Q19" i="2" l="1"/>
  <c r="Q24" i="2"/>
  <c r="R16" i="2" l="1"/>
  <c r="R18" i="2" s="1"/>
  <c r="Q32" i="2"/>
  <c r="R19" i="2" l="1"/>
  <c r="R24" i="2"/>
  <c r="S16" i="2" l="1"/>
  <c r="S18" i="2" s="1"/>
  <c r="R32" i="2"/>
  <c r="S19" i="2" l="1"/>
  <c r="S24" i="2"/>
  <c r="T16" i="2" l="1"/>
  <c r="T18" i="2" s="1"/>
  <c r="S32" i="2"/>
  <c r="T19" i="2" l="1"/>
  <c r="T24" i="2"/>
  <c r="U16" i="2" l="1"/>
  <c r="U18" i="2" s="1"/>
  <c r="T32" i="2"/>
  <c r="U19" i="2" l="1"/>
  <c r="U24" i="2"/>
  <c r="V16" i="2" l="1"/>
  <c r="V18" i="2" s="1"/>
  <c r="U32" i="2"/>
  <c r="V19" i="2" l="1"/>
  <c r="V32" i="2" s="1"/>
  <c r="V24" i="2"/>
</calcChain>
</file>

<file path=xl/comments1.xml><?xml version="1.0" encoding="utf-8"?>
<comments xmlns="http://schemas.openxmlformats.org/spreadsheetml/2006/main">
  <authors>
    <author>Tijana</author>
  </authors>
  <commentList>
    <comment ref="D14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3 limuna za 1,4l limunade
-&gt;
0,43 limuna za 0,2l limunade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5 pomorandzi za 1,5l
-&gt;
0,67 pomorandzi za 0,2l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U jednoj casi se nalazi:
1/3 kolicine limuna;
1/3 pomorandzi;
1/3 malina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 xml:space="preserve">Tijana:
</t>
        </r>
        <r>
          <rPr>
            <sz val="9"/>
            <color indexed="81"/>
            <rFont val="Tahoma"/>
            <family val="2"/>
          </rPr>
          <t>3 limuna + 100g secera + 650g vode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5 pomorandzi, led (200g, sitan), secer u prahu (75g), voda (500ml = 0,5l). Ukupna kolicina od datih sastojaka = 5x150 + 200 + 75 + 500 = 1,5l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500 malina, 300ml vode (0,3l), 120g secera
= ~ 0,9l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500 malina, 300ml vode (0,3l), 120g secera
= ~ 0,9l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100g za 1,4litar
-&gt;
14,29g za 1 casu (za 0,2l)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75g za 1,5l
-&gt;
10g za 0,2l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120g za 0,9l
-&gt;
26,7g za 0,2l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120g za 0,9l
-&gt;
26,7g za 0,2l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220g (za led) + 500ml za 1,5l
-&gt;
96g za 0,2l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Svaki 150ti prolaznik da kupi -&gt; 100/150 = 0,67%
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Svaki 85ti prolaznik da kupi -&gt; 100/85 = 1,17%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Svaki 300ti prolaznik da kupi -&gt; 100/300 = 0,33%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Dakle zakljucujemo da se ne isplati prodavati ove vocne sokove u zimskom periodu. Tako da bismo zimi placali samo zakupninu lokala ili iznajmili za prodaju toplih napitaka od cega bismo bili na nuli u zimskim mesecima I na dalje u radu zimske mesece necu uzimati u obzir za analizu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Trosak (cost) = materijal + rad (radna snaga) + takse (porezi, naknade..)
</t>
        </r>
      </text>
    </comment>
    <comment ref="V50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2,300,000 = 19,600e</t>
        </r>
      </text>
    </comment>
    <comment ref="M54" authorId="0" shapeId="0">
      <text>
        <r>
          <rPr>
            <b/>
            <sz val="9"/>
            <color indexed="81"/>
            <rFont val="Tahoma"/>
            <family val="2"/>
          </rPr>
          <t xml:space="preserve">Tijana:
</t>
        </r>
        <r>
          <rPr>
            <sz val="9"/>
            <color indexed="81"/>
            <rFont val="Tahoma"/>
            <family val="2"/>
          </rPr>
          <t>2 aparata za pravljenje na jednoj mašini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ukupan broj prodatih proizvoda * 40% (u 1. tabeli sam napisala u kom odnosu se prodaje koji tip proizvoda)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Markup = vrednost profitne marze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veleprodajna cena = troskovi x markup;
U ovom radu veleprodajna cena nam samo sluzi da izracunamo maloprodajnu cenu. Necemo se baviti veleprodajom, vec direktnom prodajom, tj maloprodajom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maloprodajna cena = veleprodajna cena x markup</t>
        </r>
      </text>
    </comment>
    <comment ref="C134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Funkcija SLN - daje linearnu amortizaciju materijalnih sredstava za jedan period</t>
        </r>
      </text>
    </comment>
    <comment ref="E134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Ovo je vrednost proizoda koja vredi nakon tog perioda godina koji sam unela</t>
        </r>
      </text>
    </comment>
    <comment ref="G134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SLN funkcija
SLN = (cena, amortizovana stopa imovine, vek)</t>
        </r>
      </text>
    </comment>
    <comment ref="D189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Prihod od limunade = prodajna cena limunade x 40% od ukupne kolicine prodate u tom mesecu (Mart = 1709)</t>
        </r>
      </text>
    </comment>
    <comment ref="D196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Troškove gore sabrane delim sa 8 jer sam računala gore za tih 8 meseci za koje radi štand. Sada mi treba na mesečnom nivou I ukupnu sumu delim sa 8</t>
        </r>
      </text>
    </comment>
    <comment ref="D201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Highlight sells that are less than ukupan iznos uzetog kredita</t>
        </r>
      </text>
    </comment>
    <comment ref="C218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Da bi se vlasniku isplatila celokupna prodaja, odnosno poslovanje, minimalni povraćaj bi bio 10% na svaki proizvod. Zato racunam sada internu stopu prinosa - IRR</t>
        </r>
      </text>
    </comment>
    <comment ref="D221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Računanje ovog koeficijenta: Koeficijent cash flow-a od -2 do 2 bi se mogao interpretirati na sledeće načine:
Ako je koeficijent cash flow-a -2, to bi značilo da poslovni subjekt troši dva puta više novca nego što ga generiše iz svojih operativnih aktivnosti. To bi ukazivalo na velike probleme u poslovanju i zahtevalo bi hitno rešavanje problema.
Ako je koeficijent cash flow-a -1, to bi značilo da poslovni subjekt troši jednako puno novca koliko ga i generiše iz svojih operativnih aktivnosti. To bi značilo da poslovni subjekt ne stvara nikakav neto novčani tok, što bi takođe moglo biti zabrinjavajuće.
Ako je koeficijent cash flow-a 0, to bi značilo da poslovni subjekt ne generiše nikakav novčani tok iz svojih operativnih aktivnosti, ali ne troši ni više novca nego što ga generiše.
Dakle: 
D221 = D201 / D187
U slucaju da je stanje &lt; pocetnog stanja cash flow ce imati negativnu vrednost, a ukoliko je vece imace pozitivnu vrednost. Kada podelim te dve vrednosti dobicu i koliko iznosi taj koeficijent</t>
        </r>
      </text>
    </comment>
    <comment ref="E221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= E201 / E187
Negativan je broj jer je stanje &lt; pocetnog stanja
</t>
        </r>
      </text>
    </comment>
    <comment ref="C249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Pravim na period od godinu danač odnosno ovaj period u kome mi radi štand (mart-oktobar)</t>
        </r>
      </text>
    </comment>
    <comment ref="C276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Udeo zadrzane dobiti u kapitalu sam vlasnik bira koliki ce procenat iznositi u zavisnosti od potreba za dalje investiranje I ulaganje u poslovanje I kolicine novca koji zeli zadrzati</t>
        </r>
      </text>
    </comment>
    <comment ref="D276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Sama sam odabrala da je 60% udeo zadrzane obiti u kapitalu jer smatram da nema mnogo ulaganja za ovaj vid proizvodnje</t>
        </r>
      </text>
    </comment>
    <comment ref="F285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X2 = Zadrzani (reinvestirani) profit / Ukupna aktiva</t>
        </r>
      </text>
    </comment>
    <comment ref="J285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X3 = Dobit pre kamate I poreza / Ukupna aktiva</t>
        </r>
      </text>
    </comment>
    <comment ref="N285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Trzisna vrednost kapitala = Kapital;
Ukupna vrednost duga = Kratkorocne finansijske obaveze + Ukupne dugorocne finansijske obaveze + Obaveze iz poslovanja</t>
        </r>
      </text>
    </comment>
    <comment ref="R285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Formula
X5 = Prihod od prodaje / Ukupna aktiva</t>
        </r>
      </text>
    </comment>
    <comment ref="G288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ovo je 60% od ukupnog kapitala</t>
        </r>
      </text>
    </comment>
    <comment ref="C298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Predstavlja odnos obrtnih sredstava I ukupne imovine koju organizacija ima na raspolaganju</t>
        </r>
      </text>
    </comment>
    <comment ref="C299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Predstavlja odnos zadrzane zarade I ukupne imovine koju organizacija ima na raspolaganju</t>
        </r>
      </text>
    </comment>
    <comment ref="C300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Predstavlja odnos dobiti pre oporezivanja I ukupne imovine koju organizacija ima na raspolaganju</t>
        </r>
      </text>
    </comment>
    <comment ref="C301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Predstavlja odnos trzisne vrednosti kapitala I ukupnih obaveza koje organizacija ima</t>
        </r>
      </text>
    </comment>
    <comment ref="C307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Formula varira u zavisnosti od tipa preduzeća. Pa tako I izlaz, tj Z-skor u zavisnosti od tipa preduzeća ima različite granice za bankrot.
U ovom primeru koristi se Izraz za privatna preduzeca koji glasi:
Z' = 0,717*X1 + 0,847*X2 + 3,107*X3 + 0,42*X4 + 0,998*X5</t>
        </r>
      </text>
    </comment>
    <comment ref="C313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Z =0,717*X1+0,847*X2 + 3,107*X3 + 0,42*X4 + 0,998*X5</t>
        </r>
      </text>
    </comment>
    <comment ref="D313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Granice izmedju zona su 1,23 I 2,99
sigurna zona: Z &gt; 2,99
"siva zona": 1,23 &lt; Z &lt; 2,99
zona opasnosti: Z &lt; 1,23
</t>
        </r>
      </text>
    </comment>
  </commentList>
</comments>
</file>

<file path=xl/comments2.xml><?xml version="1.0" encoding="utf-8"?>
<comments xmlns="http://schemas.openxmlformats.org/spreadsheetml/2006/main">
  <authors>
    <author>Tijana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Uzimamo kredit u iznosu od 2,360,000 dinara (~ 19,600 evra) na period otplate od 18 meseci. Mesecna kamatna stopa je 10%
Uzimamo kredit u iznosu od 2,360,000 dinara za pokretanje biznisa. S obzirom da je period otplate oko 1,5 godinu, kamatna stopa ce se kretati oko 10%.  (do godinu dana je kamatna stopa oko 7%;  a za period veci od godinu dana oko 12%).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Ukupan iznos tokom trajanja kredita -&gt; pomnozi dobijenu vrednost funkcije PMT sa vrednoscu argumenta nper.
Racunanje -&gt; Rata kredita x Rok otplate kredita (meseci) = E17x E12  = 139,571x18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Prvi parametar delim sa 12 jer kredit otplacujem na kraci period tj oko godinu dana I onda su mi meseci bitni</t>
        </r>
      </text>
    </comment>
  </commentList>
</comments>
</file>

<file path=xl/comments3.xml><?xml version="1.0" encoding="utf-8"?>
<comments xmlns="http://schemas.openxmlformats.org/spreadsheetml/2006/main">
  <authors>
    <author>Tijana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Funkcija SLN - daje linearnu amortizaciju materijalnih sredstava za jedan period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Mislim da je ovo vrednost proizoda koja vredi nakon tog perioda godina koji sam unela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SLN funkcija
SLN = (cena, amortizovana stopa imovine, vek)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Ova tri polja jedno ispod drugog sluze samo da ponderisem vrednosti za spinere jer je opseg maks do 30000</t>
        </r>
      </text>
    </comment>
  </commentList>
</comments>
</file>

<file path=xl/comments4.xml><?xml version="1.0" encoding="utf-8"?>
<comments xmlns="http://schemas.openxmlformats.org/spreadsheetml/2006/main">
  <authors>
    <author>Tijana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Zelena boja - objective
Zuta boja - Ono sto menjamo;
Plava boja - Ogranicenja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Pre primene solera je ovde vrednost bila 1709, tj predvidjena kolicina prodaje u tom mesecu (mart/april/sept/oktobar)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ovo su predvidjeni troskovi uvecani za 1/3 kako bih videla kako se pri toliko uvecanim troskovima maksimizira profit</t>
        </r>
      </text>
    </comment>
    <comment ref="W29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Ova vrednost je dobijena na osnovu troskova koji su uvecani za 1/3 koji su predstavljeni kao maksimum koji moze iznositi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Troškovi po jedinici proizvodnje uvećani za trećinu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Tijana:</t>
        </r>
        <r>
          <rPr>
            <sz val="9"/>
            <color indexed="81"/>
            <rFont val="Tahoma"/>
            <family val="2"/>
          </rPr>
          <t xml:space="preserve">
Troškovi po jedinici proizvodnje uvećani za trećinu</t>
        </r>
      </text>
    </comment>
  </commentList>
</comments>
</file>

<file path=xl/sharedStrings.xml><?xml version="1.0" encoding="utf-8"?>
<sst xmlns="http://schemas.openxmlformats.org/spreadsheetml/2006/main" count="354" uniqueCount="233">
  <si>
    <t>Tipovi sokova</t>
  </si>
  <si>
    <t>procenat od ukupne kolicinske prodaje</t>
  </si>
  <si>
    <t>Racunanje prodajne cene proizvoda (Price your product)</t>
  </si>
  <si>
    <t>Materijal</t>
  </si>
  <si>
    <t>Rad (radna snaga)</t>
  </si>
  <si>
    <t>Overhead (taxes - porezi, naknade)</t>
  </si>
  <si>
    <t>Zakup lokala</t>
  </si>
  <si>
    <t>Plata - spremanje sokova</t>
  </si>
  <si>
    <t>Otplata kredita</t>
  </si>
  <si>
    <t>Kasa</t>
  </si>
  <si>
    <t>Cena</t>
  </si>
  <si>
    <t>Ukupna cena</t>
  </si>
  <si>
    <t>Procenat ljudi koji bi kupili sok</t>
  </si>
  <si>
    <t>Leto</t>
  </si>
  <si>
    <t>Zima</t>
  </si>
  <si>
    <t>Januar</t>
  </si>
  <si>
    <t>Februar</t>
  </si>
  <si>
    <t>Mart</t>
  </si>
  <si>
    <t>April</t>
  </si>
  <si>
    <t>Maj</t>
  </si>
  <si>
    <t>Jun</t>
  </si>
  <si>
    <t>Jul</t>
  </si>
  <si>
    <t>Avgust</t>
  </si>
  <si>
    <t>Septembar</t>
  </si>
  <si>
    <t>Oktobar</t>
  </si>
  <si>
    <t>Novembar</t>
  </si>
  <si>
    <t>Decembar</t>
  </si>
  <si>
    <t>Broj ljudi koji posete</t>
  </si>
  <si>
    <t>Broj ljudi koji kupi proizvod</t>
  </si>
  <si>
    <t>Ukupan broj komada</t>
  </si>
  <si>
    <t>Broj komada (april)</t>
  </si>
  <si>
    <t>Broj komada (mart)</t>
  </si>
  <si>
    <t>Broj komada (maj)</t>
  </si>
  <si>
    <t>Broj komada (jun)</t>
  </si>
  <si>
    <t>Broj komada (jul)</t>
  </si>
  <si>
    <t>Broj komada (avgust)</t>
  </si>
  <si>
    <t>Broj komada (septembar)</t>
  </si>
  <si>
    <t>Broj komada (oktobar)</t>
  </si>
  <si>
    <t>Broj meseci</t>
  </si>
  <si>
    <t>Kredit = troskovi - sopstveni novac za pokretanje biznisa</t>
  </si>
  <si>
    <t>Veleprodajna cena</t>
  </si>
  <si>
    <t>Maloprodajna cena</t>
  </si>
  <si>
    <t>Cena soka</t>
  </si>
  <si>
    <t>Granita - malina</t>
  </si>
  <si>
    <t>Granita - organska malina</t>
  </si>
  <si>
    <t>Broj jedinica prodatih proizvoda</t>
  </si>
  <si>
    <t>Limunada</t>
  </si>
  <si>
    <t>Dodatni iznenadni troskovi</t>
  </si>
  <si>
    <t>Ukupan potreban kredit</t>
  </si>
  <si>
    <t>Ulazi</t>
  </si>
  <si>
    <t>Vrednost kredita (sadasnja vrednost)</t>
  </si>
  <si>
    <t>Kamatna stopa</t>
  </si>
  <si>
    <t>Izlazi</t>
  </si>
  <si>
    <t>Mesec</t>
  </si>
  <si>
    <t>Rata kredita</t>
  </si>
  <si>
    <t>Deo rate za kamatu</t>
  </si>
  <si>
    <t>Deo rate za glavnicu</t>
  </si>
  <si>
    <t>Rok otplate kredita (meseci)</t>
  </si>
  <si>
    <t>Tabela podataka: Osetljivost dela rate za kamatu na promenu kamatne stope</t>
  </si>
  <si>
    <t>Ulazne vrednosti</t>
  </si>
  <si>
    <t>Izlazna formula: Deo rate za kamatu</t>
  </si>
  <si>
    <t>Tabela podataka: Osetljivost dela rate za glavnicu na promenu kamatne stope</t>
  </si>
  <si>
    <t>Ukupan iznos placen tokom trajanja kredita</t>
  </si>
  <si>
    <t>Izlazna formula: Deo rate za glavnicu</t>
  </si>
  <si>
    <t>Stopa amortizacije</t>
  </si>
  <si>
    <t>Rashod - likvidaciona vrednost</t>
  </si>
  <si>
    <t>Vek - korisni vek materijalnih sredstava u godinama</t>
  </si>
  <si>
    <t>Sokovnik</t>
  </si>
  <si>
    <t>* to ne racunas ovde. Jer su mi ovde troskovi koji mi trebaju da bih racunala cenu kostanja, koliko sta iznosi.. Mogu na kraju da kredit sracunam I da ot prihoda oduzmem troskove I kredit I vidim da li se isplati ili ne. Ovde svakako to ne racunam</t>
  </si>
  <si>
    <t>Cash flow</t>
  </si>
  <si>
    <t>Diskont</t>
  </si>
  <si>
    <t>Iznos</t>
  </si>
  <si>
    <t>Formula</t>
  </si>
  <si>
    <t>Excel funkcija IRR</t>
  </si>
  <si>
    <t>Ukupni prihod</t>
  </si>
  <si>
    <t>Prihod od limunade</t>
  </si>
  <si>
    <t>Prihod od granite - malina</t>
  </si>
  <si>
    <t>Prihod od granite - organska malina</t>
  </si>
  <si>
    <t>Rashod od amortizacije</t>
  </si>
  <si>
    <t>Rashod za ratu za otplatu kredita</t>
  </si>
  <si>
    <t>Rashod od gore sumiranih var. i fiksnih troskova</t>
  </si>
  <si>
    <t>Ukupni rashod</t>
  </si>
  <si>
    <t>Stanje</t>
  </si>
  <si>
    <t>PRIHODI</t>
  </si>
  <si>
    <t>RASHODI</t>
  </si>
  <si>
    <t>BILANS STANJA</t>
  </si>
  <si>
    <t>Aktiva</t>
  </si>
  <si>
    <t>Zalihe</t>
  </si>
  <si>
    <t>Pasiva</t>
  </si>
  <si>
    <t>Kapital</t>
  </si>
  <si>
    <t>Gotovina</t>
  </si>
  <si>
    <t>Obrtna imovina ukupno</t>
  </si>
  <si>
    <t>Stalna imovina ukupno</t>
  </si>
  <si>
    <t>Ukupna imovina</t>
  </si>
  <si>
    <t>Obaveze iz poslovanja</t>
  </si>
  <si>
    <t>Udeo zadrzane dobiti u kapitalu</t>
  </si>
  <si>
    <t>Altmanov Z skor</t>
  </si>
  <si>
    <t>Pokazatelji</t>
  </si>
  <si>
    <t>Pokazatelj profitabilnosti =&gt; X2</t>
  </si>
  <si>
    <t>Pokazatelj profitabilnosti =&gt; X3</t>
  </si>
  <si>
    <t>Pokazatelj solventnosti =&gt; X4</t>
  </si>
  <si>
    <r>
      <t>Pokazatelj likvidnosti =&gt; X</t>
    </r>
    <r>
      <rPr>
        <sz val="10"/>
        <color theme="1"/>
        <rFont val="Calibri"/>
        <family val="2"/>
        <scheme val="minor"/>
      </rPr>
      <t>1</t>
    </r>
  </si>
  <si>
    <t>Pokazatelj efikasnosti =&gt; X5</t>
  </si>
  <si>
    <t>X5 = Prihodi od prodaje / Ukupna aktiva</t>
  </si>
  <si>
    <t>Ukupni troskovi</t>
  </si>
  <si>
    <t>Ustedjevina (sopstveni novac) za pokretanje biznisa</t>
  </si>
  <si>
    <t>Ukupni prihodi</t>
  </si>
  <si>
    <t>Obrtna imovina</t>
  </si>
  <si>
    <t>Ukupna vrednost duga</t>
  </si>
  <si>
    <t>Ukupna aktivna (ukupna imovina)</t>
  </si>
  <si>
    <t>Ukupni rashodi</t>
  </si>
  <si>
    <t>Ukupna aktiva (ukupna imovina)</t>
  </si>
  <si>
    <t>Prihod od prodaje</t>
  </si>
  <si>
    <t>X5 = Prihod od prodaje / Ukupna aktiva</t>
  </si>
  <si>
    <t>Vrednost pokazatelja</t>
  </si>
  <si>
    <t>Formula (izraz) Altmanovog Z-skora za predvidjanje bankrota organizacije u naredne dve godine</t>
  </si>
  <si>
    <t>Izraz za privatna preduzeca</t>
  </si>
  <si>
    <t>X1</t>
  </si>
  <si>
    <t>X2</t>
  </si>
  <si>
    <t>X3</t>
  </si>
  <si>
    <t>X4</t>
  </si>
  <si>
    <t>X5</t>
  </si>
  <si>
    <t>Z</t>
  </si>
  <si>
    <t>Minimum cene</t>
  </si>
  <si>
    <t>Maksimum cene</t>
  </si>
  <si>
    <t>Slush aparat (Granita mašina)</t>
  </si>
  <si>
    <t>Rashod &lt;==&gt; likvidaciona vrednost</t>
  </si>
  <si>
    <t>Profit / jedinici</t>
  </si>
  <si>
    <t>Trosak / jedinici</t>
  </si>
  <si>
    <t>Profit u letnjim danima</t>
  </si>
  <si>
    <t>Ukupno</t>
  </si>
  <si>
    <t>Primenom solvera po istom principu je moguce odraditi I ovu tabelu za odredjivanje maksimalnog mesecnog profita u letnjem mesecu</t>
  </si>
  <si>
    <t>Ukupna nabavna cena materijala soka (za 1 prodajnu čašu)</t>
  </si>
  <si>
    <t>Ceđena pomorandža</t>
  </si>
  <si>
    <t>Granita - voćni mix (limun, pomorandža, malina)</t>
  </si>
  <si>
    <t>Broj ljudi koji poseti Adu (mesečno)</t>
  </si>
  <si>
    <t>Čaša</t>
  </si>
  <si>
    <t>Slamčica</t>
  </si>
  <si>
    <t>Pomoćni sokovnik</t>
  </si>
  <si>
    <t>Frižider/zamrzivač - za led; za čuvanje pripremljenih sokova</t>
  </si>
  <si>
    <t>varijabilni troškovi</t>
  </si>
  <si>
    <t>Fiksni troškovi</t>
  </si>
  <si>
    <t>Fiksni troškovi (mesečno)</t>
  </si>
  <si>
    <t>Materijali za čišćenje (sredstva za čišćenje, rukavice,..)</t>
  </si>
  <si>
    <t>Plata - prodaja, održavanje lokala (čišćenje..)</t>
  </si>
  <si>
    <t>Struja, voda i slične komunalije</t>
  </si>
  <si>
    <t>Troškovi = (materijal+rad+takse)</t>
  </si>
  <si>
    <t>Računanje troškova po jedinici proizvoda</t>
  </si>
  <si>
    <t>Granita - voćni mix</t>
  </si>
  <si>
    <t>Ukupni fiksni troškovi</t>
  </si>
  <si>
    <t>Ukupni varijablni troškovi</t>
  </si>
  <si>
    <t>Procenat od ukupne količine prodatih proizvoda</t>
  </si>
  <si>
    <t>Fiksni trošak po ukupnoj količini proizvoda</t>
  </si>
  <si>
    <t>Fiksni trošak po jedinici proizvoda</t>
  </si>
  <si>
    <t>Ukupni trošak po jedinici proizvoda (varijabilni + fiksni)</t>
  </si>
  <si>
    <t>Troškovi kada se doda i cena nabavnog materijala za pravljenje soka (voće, šećer..)</t>
  </si>
  <si>
    <t>Troškovi za nabavnu cenu materijala (voće, šećer...)</t>
  </si>
  <si>
    <t>Ukupni troškovi (sav materijal+rad+takse)</t>
  </si>
  <si>
    <t>Računanje prodajne cene (How to price your products - Wholesale and retail price)</t>
  </si>
  <si>
    <t>Troškovi</t>
  </si>
  <si>
    <r>
      <t xml:space="preserve">Markup (profitna marža, tj. </t>
    </r>
    <r>
      <rPr>
        <i/>
        <sz val="11"/>
        <color theme="1"/>
        <rFont val="Calibri"/>
        <family val="2"/>
        <scheme val="minor"/>
      </rPr>
      <t>profit margin</t>
    </r>
    <r>
      <rPr>
        <sz val="11"/>
        <color theme="1"/>
        <rFont val="Calibri"/>
        <family val="2"/>
        <charset val="238"/>
        <scheme val="minor"/>
      </rPr>
      <t>)</t>
    </r>
  </si>
  <si>
    <t>Vrednost kredita (sadašnja vrednost)</t>
  </si>
  <si>
    <t>Glavnica (na početku meseca)</t>
  </si>
  <si>
    <t>Ukupan iznos uplaćen tokom trajanja (otplate) kredita</t>
  </si>
  <si>
    <t>Količina</t>
  </si>
  <si>
    <t>Ukupna stopa amortizacije (godišnje)</t>
  </si>
  <si>
    <t>Frižider/zamrzivač</t>
  </si>
  <si>
    <t>Ukupna stopa amortizacije (godišnje za sva materijalna sredstva)</t>
  </si>
  <si>
    <t>Slika se odnosi samo na logiku računanja amortizacione stope - tj SLN funkciju</t>
  </si>
  <si>
    <t>Računanje toka gotovine (Mart - Oktobar) - CASH FLOW</t>
  </si>
  <si>
    <t>Početno stanje</t>
  </si>
  <si>
    <t>Prihod od ceđene pomorandže</t>
  </si>
  <si>
    <t>Prihod od granite - voćni mix</t>
  </si>
  <si>
    <t>Računanje isplativosti prodaje</t>
  </si>
  <si>
    <t>Redni broj meseca od početka prodaje</t>
  </si>
  <si>
    <t>Diskontovani cash flow</t>
  </si>
  <si>
    <t>Računanje</t>
  </si>
  <si>
    <r>
      <t xml:space="preserve">Suma diskontovanog cash </t>
    </r>
    <r>
      <rPr>
        <i/>
        <sz val="11"/>
        <color theme="1"/>
        <rFont val="Calibri"/>
        <family val="2"/>
        <scheme val="minor"/>
      </rPr>
      <t>flow</t>
    </r>
    <r>
      <rPr>
        <sz val="11"/>
        <color theme="1"/>
        <rFont val="Calibri"/>
        <family val="2"/>
        <charset val="238"/>
        <scheme val="minor"/>
      </rPr>
      <t>-a = NPV</t>
    </r>
  </si>
  <si>
    <t>Potraživanja</t>
  </si>
  <si>
    <t>Oprema i mašine</t>
  </si>
  <si>
    <t>Kratkoročne finansijske obaveze</t>
  </si>
  <si>
    <t>Kratkoročne obaveze ukupno</t>
  </si>
  <si>
    <t>Dugoročne obaveze ukupno</t>
  </si>
  <si>
    <t>Ukupne obaveze i kapital</t>
  </si>
  <si>
    <t>Pomoćne tabele za računanje pokazatelja Altmanovog Z skora</t>
  </si>
  <si>
    <t>Računanje likvidnosti =&gt; X1</t>
  </si>
  <si>
    <t>X1 = (Obrtna imovina - Kratkoročne obaveze) / Ukupna aktiva</t>
  </si>
  <si>
    <t>Računanje profitabilnosti =&gt; X2</t>
  </si>
  <si>
    <t>Udeo zadržane dobiti</t>
  </si>
  <si>
    <t>Zadržani (reinvestirani) profit = Udeo zadržane dobiti u kapitalu</t>
  </si>
  <si>
    <t>X2 = Zadržani (reinvestirani) profit / Ukupna aktiva</t>
  </si>
  <si>
    <t>Računanje profitabilnosti =&gt; X3</t>
  </si>
  <si>
    <t>Dobit pre kamate i poreza</t>
  </si>
  <si>
    <t>X3 = Dobit pre kamate i poreza / Ukupna aktiva</t>
  </si>
  <si>
    <t>Računanje solventnosti =&gt; X4</t>
  </si>
  <si>
    <t>Tržišna vrednost kapitala = Kapital</t>
  </si>
  <si>
    <t>Ukupne dugoročne obaveze</t>
  </si>
  <si>
    <t>X4 = Tržišna vrednost kapitala / Ukupna vrednost duga</t>
  </si>
  <si>
    <t>Računanje efikasnosti =&gt; X5</t>
  </si>
  <si>
    <t>X1 = (Obrtna imovina - Kratkoročne obaveze)/ Ukupna aktiva</t>
  </si>
  <si>
    <t>Profit u prolećnim/jesenjim danima</t>
  </si>
  <si>
    <t>Mesečna potražnja (komad)</t>
  </si>
  <si>
    <t>Ograničenja:</t>
  </si>
  <si>
    <t>Ukupni mesečni troškovi za ukupnu potražnju od 1709 komada (u prolećnom/jesenjem mesecu)</t>
  </si>
  <si>
    <t>Mesečni profit</t>
  </si>
  <si>
    <t>Ukupni mesečni troškovi (za svaki tip soka)</t>
  </si>
  <si>
    <t>Troškovi po jedinici proizvodnje</t>
  </si>
  <si>
    <t>Ograničenje u potražnji (mesečnoj)</t>
  </si>
  <si>
    <t>Ograničenje</t>
  </si>
  <si>
    <t>Ukupni mesečni troškovi za ukupnu potražnju od 27378 komada (u letnjem mesecu)</t>
  </si>
  <si>
    <t>Trošak / jedinici</t>
  </si>
  <si>
    <t>Maksimizacija mesečnog profita u letnjem mesecu</t>
  </si>
  <si>
    <t>Maksimalni troškovi koji se mogu priuštiti po jedinici proizvodnje</t>
  </si>
  <si>
    <t>Maksimizacija mesecnog profita u prolećnom/jesenjem mesecu (u martu/aprilu/septembru/oktobru)</t>
  </si>
  <si>
    <t>Granita - vočni mix</t>
  </si>
  <si>
    <t>Procenat od ukupne količinske prodaje</t>
  </si>
  <si>
    <t>Prodajna količina po proizvodu (litar)</t>
  </si>
  <si>
    <t>Količina voća po proizvodu (po prodajnoj čaši)</t>
  </si>
  <si>
    <t>Gramaža voća po proizvodu (po jednog prodajnoj čaši)</t>
  </si>
  <si>
    <t>Nabavna cena proizvoda (din/1kg)</t>
  </si>
  <si>
    <t>Recept (sa svim potrebnim sastojcima) (u litrima)</t>
  </si>
  <si>
    <t>Količina šećera (grama po čaši)</t>
  </si>
  <si>
    <t>Cena šećera (din / kg)</t>
  </si>
  <si>
    <t>Cena šećera (din / po prodajnoj čaši)</t>
  </si>
  <si>
    <t>Količina vode  (g / po prodajnoj čaši)</t>
  </si>
  <si>
    <t>Cena vode (din / po prodajnoj čaši)</t>
  </si>
  <si>
    <t>Cena voća po prodajnoj čaši</t>
  </si>
  <si>
    <t>Cena dela varijabilnih troškova (čaša + slamčica)</t>
  </si>
  <si>
    <t>Prosečna težina jednog ploda tog voća (grama)</t>
  </si>
  <si>
    <t>Pomocna kolona za ponderisanje spinera</t>
  </si>
  <si>
    <t>Mesečna prodaja / mesec (količina prodatih jedinica)</t>
  </si>
  <si>
    <t>Proleće/jesen</t>
  </si>
  <si>
    <t>Rashod za porez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</si>
</sst>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#,##0.00\ &quot;RSD&quot;;[Red]\-#,##0.00\ &quot;RSD&quot;"/>
    <numFmt numFmtId="42" formatCode="_-* #,##0\ &quot;RSD&quot;_-;\-* #,##0\ &quot;RSD&quot;_-;_-* &quot;-&quot;\ &quot;RSD&quot;_-;_-@_-"/>
    <numFmt numFmtId="164" formatCode="0.0"/>
    <numFmt numFmtId="165" formatCode="#,##0.000_ ;[Red]\-#,##0.000\ "/>
    <numFmt numFmtId="166" formatCode="#,##0.00_ ;[Red]\-#,##0.00\ "/>
    <numFmt numFmtId="167" formatCode="_-* #,##0.00\ [$RSD-241A]_-;\-* #,##0.00\ [$RSD-241A]_-;_-* &quot;-&quot;??\ [$RSD-241A]_-;_-@_-"/>
    <numFmt numFmtId="168" formatCode="_-* #,##0\ [$RSD-241A]_-;\-* #,##0\ [$RSD-241A]_-;_-* &quot;-&quot;\ [$RSD-241A]_-;_-@_-"/>
  </numFmts>
  <fonts count="11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9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9" fontId="0" fillId="0" borderId="0" xfId="0" applyNumberFormat="1" applyBorder="1"/>
    <xf numFmtId="9" fontId="0" fillId="0" borderId="5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/>
    <xf numFmtId="0" fontId="0" fillId="0" borderId="6" xfId="0" applyBorder="1" applyAlignment="1">
      <alignment wrapText="1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4" fillId="3" borderId="0" xfId="0" applyFont="1" applyFill="1" applyAlignment="1">
      <alignment wrapText="1"/>
    </xf>
    <xf numFmtId="1" fontId="0" fillId="0" borderId="7" xfId="0" applyNumberFormat="1" applyBorder="1"/>
    <xf numFmtId="1" fontId="0" fillId="0" borderId="8" xfId="0" applyNumberFormat="1" applyBorder="1"/>
    <xf numFmtId="1" fontId="0" fillId="0" borderId="0" xfId="0" applyNumberFormat="1"/>
    <xf numFmtId="0" fontId="0" fillId="3" borderId="0" xfId="0" applyFill="1" applyAlignment="1">
      <alignment wrapText="1"/>
    </xf>
    <xf numFmtId="0" fontId="0" fillId="3" borderId="4" xfId="0" applyFill="1" applyBorder="1" applyAlignment="1">
      <alignment wrapText="1"/>
    </xf>
    <xf numFmtId="0" fontId="0" fillId="2" borderId="0" xfId="0" applyFill="1"/>
    <xf numFmtId="1" fontId="0" fillId="2" borderId="0" xfId="0" applyNumberFormat="1" applyFill="1"/>
    <xf numFmtId="1" fontId="0" fillId="2" borderId="7" xfId="0" applyNumberFormat="1" applyFill="1" applyBorder="1"/>
    <xf numFmtId="0" fontId="0" fillId="3" borderId="1" xfId="0" applyFill="1" applyBorder="1"/>
    <xf numFmtId="0" fontId="0" fillId="3" borderId="0" xfId="0" applyFill="1"/>
    <xf numFmtId="8" fontId="0" fillId="0" borderId="0" xfId="0" applyNumberFormat="1"/>
    <xf numFmtId="0" fontId="4" fillId="3" borderId="0" xfId="0" applyFont="1" applyFill="1"/>
    <xf numFmtId="8" fontId="0" fillId="2" borderId="0" xfId="0" applyNumberFormat="1" applyFill="1"/>
    <xf numFmtId="0" fontId="6" fillId="0" borderId="0" xfId="0" applyFont="1"/>
    <xf numFmtId="2" fontId="0" fillId="0" borderId="0" xfId="0" applyNumberFormat="1"/>
    <xf numFmtId="0" fontId="7" fillId="0" borderId="0" xfId="0" applyFont="1"/>
    <xf numFmtId="1" fontId="0" fillId="2" borderId="9" xfId="0" applyNumberFormat="1" applyFill="1" applyBorder="1"/>
    <xf numFmtId="165" fontId="0" fillId="0" borderId="0" xfId="0" applyNumberFormat="1"/>
    <xf numFmtId="0" fontId="0" fillId="0" borderId="1" xfId="0" applyBorder="1" applyAlignment="1">
      <alignment wrapText="1"/>
    </xf>
    <xf numFmtId="10" fontId="0" fillId="0" borderId="7" xfId="0" applyNumberFormat="1" applyBorder="1"/>
    <xf numFmtId="10" fontId="0" fillId="0" borderId="8" xfId="0" applyNumberFormat="1" applyBorder="1"/>
    <xf numFmtId="0" fontId="0" fillId="0" borderId="0" xfId="0" applyBorder="1" applyAlignment="1">
      <alignment wrapText="1"/>
    </xf>
    <xf numFmtId="0" fontId="0" fillId="0" borderId="2" xfId="0" applyBorder="1" applyAlignment="1"/>
    <xf numFmtId="9" fontId="0" fillId="2" borderId="7" xfId="0" applyNumberFormat="1" applyFill="1" applyBorder="1"/>
    <xf numFmtId="9" fontId="0" fillId="2" borderId="7" xfId="0" applyNumberFormat="1" applyFill="1" applyBorder="1" applyAlignment="1">
      <alignment wrapText="1"/>
    </xf>
    <xf numFmtId="9" fontId="0" fillId="2" borderId="8" xfId="0" applyNumberFormat="1" applyFill="1" applyBorder="1"/>
    <xf numFmtId="0" fontId="0" fillId="2" borderId="7" xfId="0" applyFill="1" applyBorder="1" applyAlignment="1">
      <alignment wrapText="1"/>
    </xf>
    <xf numFmtId="0" fontId="0" fillId="2" borderId="7" xfId="0" applyFill="1" applyBorder="1"/>
    <xf numFmtId="0" fontId="0" fillId="0" borderId="8" xfId="0" applyBorder="1"/>
    <xf numFmtId="0" fontId="0" fillId="3" borderId="1" xfId="0" applyFill="1" applyBorder="1" applyAlignment="1">
      <alignment wrapText="1"/>
    </xf>
    <xf numFmtId="0" fontId="0" fillId="0" borderId="11" xfId="0" applyBorder="1" applyAlignment="1">
      <alignment wrapText="1"/>
    </xf>
    <xf numFmtId="1" fontId="0" fillId="0" borderId="0" xfId="0" applyNumberFormat="1" applyBorder="1"/>
    <xf numFmtId="0" fontId="0" fillId="2" borderId="8" xfId="0" applyFill="1" applyBorder="1"/>
    <xf numFmtId="0" fontId="0" fillId="3" borderId="13" xfId="0" applyFill="1" applyBorder="1"/>
    <xf numFmtId="0" fontId="0" fillId="0" borderId="14" xfId="0" applyBorder="1"/>
    <xf numFmtId="0" fontId="4" fillId="0" borderId="14" xfId="0" applyFont="1" applyBorder="1"/>
    <xf numFmtId="0" fontId="4" fillId="0" borderId="15" xfId="0" applyFont="1" applyBorder="1" applyAlignment="1">
      <alignment wrapText="1"/>
    </xf>
    <xf numFmtId="8" fontId="0" fillId="0" borderId="0" xfId="0" applyNumberFormat="1" applyBorder="1"/>
    <xf numFmtId="8" fontId="0" fillId="0" borderId="5" xfId="0" applyNumberFormat="1" applyBorder="1"/>
    <xf numFmtId="8" fontId="0" fillId="2" borderId="0" xfId="0" applyNumberFormat="1" applyFill="1" applyBorder="1"/>
    <xf numFmtId="8" fontId="0" fillId="2" borderId="5" xfId="0" applyNumberFormat="1" applyFill="1" applyBorder="1"/>
    <xf numFmtId="8" fontId="0" fillId="0" borderId="7" xfId="0" applyNumberFormat="1" applyBorder="1"/>
    <xf numFmtId="8" fontId="0" fillId="0" borderId="8" xfId="0" applyNumberFormat="1" applyBorder="1"/>
    <xf numFmtId="8" fontId="0" fillId="2" borderId="10" xfId="0" applyNumberFormat="1" applyFill="1" applyBorder="1"/>
    <xf numFmtId="0" fontId="4" fillId="3" borderId="1" xfId="0" applyFont="1" applyFill="1" applyBorder="1"/>
    <xf numFmtId="8" fontId="0" fillId="2" borderId="8" xfId="0" applyNumberFormat="1" applyFill="1" applyBorder="1"/>
    <xf numFmtId="0" fontId="0" fillId="0" borderId="7" xfId="0" applyBorder="1" applyAlignment="1">
      <alignment wrapText="1"/>
    </xf>
    <xf numFmtId="1" fontId="0" fillId="0" borderId="5" xfId="0" applyNumberFormat="1" applyBorder="1"/>
    <xf numFmtId="2" fontId="0" fillId="0" borderId="5" xfId="0" applyNumberFormat="1" applyBorder="1"/>
    <xf numFmtId="2" fontId="0" fillId="0" borderId="0" xfId="0" applyNumberFormat="1" applyBorder="1"/>
    <xf numFmtId="0" fontId="0" fillId="4" borderId="4" xfId="0" applyFill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/>
    <xf numFmtId="0" fontId="0" fillId="0" borderId="6" xfId="0" applyBorder="1" applyAlignment="1">
      <alignment horizontal="left"/>
    </xf>
    <xf numFmtId="9" fontId="0" fillId="0" borderId="8" xfId="0" applyNumberFormat="1" applyBorder="1"/>
    <xf numFmtId="0" fontId="4" fillId="0" borderId="6" xfId="0" applyFont="1" applyBorder="1"/>
    <xf numFmtId="165" fontId="0" fillId="2" borderId="8" xfId="0" applyNumberFormat="1" applyFill="1" applyBorder="1"/>
    <xf numFmtId="0" fontId="4" fillId="3" borderId="1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 applyAlignment="1">
      <alignment wrapText="1"/>
    </xf>
    <xf numFmtId="166" fontId="0" fillId="2" borderId="8" xfId="0" applyNumberFormat="1" applyFill="1" applyBorder="1"/>
    <xf numFmtId="0" fontId="0" fillId="3" borderId="4" xfId="0" applyFill="1" applyBorder="1"/>
    <xf numFmtId="165" fontId="0" fillId="2" borderId="5" xfId="0" applyNumberFormat="1" applyFill="1" applyBorder="1"/>
    <xf numFmtId="166" fontId="0" fillId="2" borderId="5" xfId="0" applyNumberFormat="1" applyFill="1" applyBorder="1"/>
    <xf numFmtId="0" fontId="0" fillId="2" borderId="5" xfId="0" applyFill="1" applyBorder="1"/>
    <xf numFmtId="165" fontId="0" fillId="0" borderId="5" xfId="0" applyNumberFormat="1" applyBorder="1"/>
    <xf numFmtId="166" fontId="0" fillId="0" borderId="5" xfId="0" applyNumberFormat="1" applyBorder="1"/>
    <xf numFmtId="0" fontId="0" fillId="6" borderId="0" xfId="0" applyFill="1" applyBorder="1"/>
    <xf numFmtId="0" fontId="0" fillId="6" borderId="0" xfId="0" applyFill="1" applyBorder="1" applyAlignment="1">
      <alignment wrapText="1"/>
    </xf>
    <xf numFmtId="0" fontId="0" fillId="7" borderId="5" xfId="0" applyFill="1" applyBorder="1"/>
    <xf numFmtId="0" fontId="0" fillId="7" borderId="0" xfId="0" applyFill="1" applyBorder="1"/>
    <xf numFmtId="0" fontId="0" fillId="7" borderId="0" xfId="0" applyFill="1" applyBorder="1" applyAlignment="1">
      <alignment wrapText="1"/>
    </xf>
    <xf numFmtId="2" fontId="0" fillId="0" borderId="7" xfId="0" applyNumberFormat="1" applyBorder="1"/>
    <xf numFmtId="2" fontId="0" fillId="0" borderId="8" xfId="0" applyNumberFormat="1" applyBorder="1"/>
    <xf numFmtId="167" fontId="0" fillId="0" borderId="0" xfId="0" applyNumberFormat="1" applyBorder="1"/>
    <xf numFmtId="42" fontId="0" fillId="0" borderId="0" xfId="1" applyFont="1" applyBorder="1"/>
    <xf numFmtId="42" fontId="0" fillId="0" borderId="5" xfId="1" applyFont="1" applyBorder="1"/>
    <xf numFmtId="168" fontId="0" fillId="0" borderId="0" xfId="0" applyNumberFormat="1" applyBorder="1"/>
    <xf numFmtId="168" fontId="0" fillId="0" borderId="5" xfId="0" applyNumberFormat="1" applyBorder="1"/>
    <xf numFmtId="42" fontId="0" fillId="2" borderId="7" xfId="1" applyFont="1" applyFill="1" applyBorder="1"/>
    <xf numFmtId="42" fontId="0" fillId="2" borderId="8" xfId="1" applyFont="1" applyFill="1" applyBorder="1"/>
    <xf numFmtId="42" fontId="0" fillId="0" borderId="0" xfId="1" applyFont="1"/>
    <xf numFmtId="42" fontId="3" fillId="0" borderId="0" xfId="1" applyFont="1"/>
    <xf numFmtId="42" fontId="0" fillId="2" borderId="0" xfId="1" applyFont="1" applyFill="1"/>
    <xf numFmtId="42" fontId="0" fillId="0" borderId="12" xfId="1" applyFont="1" applyBorder="1"/>
    <xf numFmtId="42" fontId="0" fillId="0" borderId="3" xfId="1" applyFont="1" applyBorder="1"/>
    <xf numFmtId="42" fontId="0" fillId="0" borderId="7" xfId="1" applyFont="1" applyBorder="1"/>
    <xf numFmtId="42" fontId="4" fillId="0" borderId="0" xfId="1" applyFont="1"/>
    <xf numFmtId="42" fontId="0" fillId="2" borderId="5" xfId="1" applyFont="1" applyFill="1" applyBorder="1"/>
    <xf numFmtId="0" fontId="10" fillId="0" borderId="0" xfId="0" applyFont="1" applyAlignment="1">
      <alignment wrapText="1"/>
    </xf>
    <xf numFmtId="42" fontId="0" fillId="0" borderId="0" xfId="1" applyFont="1" applyBorder="1" applyAlignment="1">
      <alignment wrapText="1"/>
    </xf>
    <xf numFmtId="42" fontId="0" fillId="0" borderId="8" xfId="1" applyFont="1" applyBorder="1"/>
    <xf numFmtId="42" fontId="0" fillId="5" borderId="0" xfId="1" applyFont="1" applyFill="1" applyBorder="1"/>
    <xf numFmtId="42" fontId="0" fillId="0" borderId="7" xfId="1" applyFont="1" applyBorder="1" applyAlignment="1">
      <alignment wrapText="1"/>
    </xf>
    <xf numFmtId="0" fontId="0" fillId="0" borderId="6" xfId="0" applyBorder="1" applyAlignment="1"/>
    <xf numFmtId="0" fontId="4" fillId="4" borderId="0" xfId="0" applyFont="1" applyFill="1" applyAlignment="1">
      <alignment horizontal="center"/>
    </xf>
  </cellXfs>
  <cellStyles count="2">
    <cellStyle name="Currency [0]" xfId="1" builtinId="7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Otplata</a:t>
            </a:r>
            <a:r>
              <a:rPr lang="en-US" baseline="0"/>
              <a:t> kredita - kretanje kamate i glavnice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Sheet1!$D$104:$U$104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Sheet1!$D$107:$U$107</c:f>
              <c:numCache>
                <c:formatCode>"RSD"#,##0.00_);[Red]\("RSD"#,##0.00\)</c:formatCode>
                <c:ptCount val="18"/>
                <c:pt idx="0">
                  <c:v>43767.156018380956</c:v>
                </c:pt>
                <c:pt idx="1">
                  <c:v>41470.53438326867</c:v>
                </c:pt>
                <c:pt idx="2">
                  <c:v>39158.60193725564</c:v>
                </c:pt>
                <c:pt idx="3">
                  <c:v>36831.256608269185</c:v>
                </c:pt>
                <c:pt idx="4">
                  <c:v>34488.395643756157</c:v>
                </c:pt>
                <c:pt idx="5">
                  <c:v>32129.915606146376</c:v>
                </c:pt>
                <c:pt idx="6">
                  <c:v>29755.712368285862</c:v>
                </c:pt>
                <c:pt idx="7">
                  <c:v>27365.681108839613</c:v>
                </c:pt>
                <c:pt idx="8">
                  <c:v>24959.716307663719</c:v>
                </c:pt>
                <c:pt idx="9">
                  <c:v>22537.711741146657</c:v>
                </c:pt>
                <c:pt idx="10">
                  <c:v>20099.560477519481</c:v>
                </c:pt>
                <c:pt idx="11">
                  <c:v>17645.15487213479</c:v>
                </c:pt>
                <c:pt idx="12">
                  <c:v>15174.386562714199</c:v>
                </c:pt>
                <c:pt idx="13">
                  <c:v>12687.146464564139</c:v>
                </c:pt>
                <c:pt idx="14">
                  <c:v>10183.324765759744</c:v>
                </c:pt>
                <c:pt idx="15">
                  <c:v>7662.810922296655</c:v>
                </c:pt>
                <c:pt idx="16">
                  <c:v>5125.4936532104775</c:v>
                </c:pt>
                <c:pt idx="17">
                  <c:v>2571.2609356637249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Sheet1!$D$104:$U$104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Sheet1!$D$108:$U$108</c:f>
              <c:numCache>
                <c:formatCode>"RSD"#,##0.00_);[Red]\("RSD"#,##0.00\)</c:formatCode>
                <c:ptCount val="18"/>
                <c:pt idx="0">
                  <c:v>344493.24526684231</c:v>
                </c:pt>
                <c:pt idx="1">
                  <c:v>346789.86690195458</c:v>
                </c:pt>
                <c:pt idx="2">
                  <c:v>349101.79934796761</c:v>
                </c:pt>
                <c:pt idx="3">
                  <c:v>351429.14467695408</c:v>
                </c:pt>
                <c:pt idx="4">
                  <c:v>353772.00564146711</c:v>
                </c:pt>
                <c:pt idx="5">
                  <c:v>356130.48567907687</c:v>
                </c:pt>
                <c:pt idx="6">
                  <c:v>358504.68891693739</c:v>
                </c:pt>
                <c:pt idx="7">
                  <c:v>360894.72017638362</c:v>
                </c:pt>
                <c:pt idx="8">
                  <c:v>363300.68497755955</c:v>
                </c:pt>
                <c:pt idx="9">
                  <c:v>365722.68954407662</c:v>
                </c:pt>
                <c:pt idx="10">
                  <c:v>368160.84080770379</c:v>
                </c:pt>
                <c:pt idx="11">
                  <c:v>370615.24641308846</c:v>
                </c:pt>
                <c:pt idx="12">
                  <c:v>373086.01472250908</c:v>
                </c:pt>
                <c:pt idx="13">
                  <c:v>375573.25482065912</c:v>
                </c:pt>
                <c:pt idx="14">
                  <c:v>378077.0765194635</c:v>
                </c:pt>
                <c:pt idx="15">
                  <c:v>380597.5903629266</c:v>
                </c:pt>
                <c:pt idx="16">
                  <c:v>383134.90763201279</c:v>
                </c:pt>
                <c:pt idx="17">
                  <c:v>385689.14034955954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732592"/>
        <c:axId val="540729328"/>
      </c:scatterChart>
      <c:valAx>
        <c:axId val="54073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29328"/>
        <c:crosses val="autoZero"/>
        <c:crossBetween val="midCat"/>
      </c:valAx>
      <c:valAx>
        <c:axId val="54072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SD&quot;#,##0.00_);[Red]\(&quot;RSD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Pregled po mesecima ukupni prihod,</a:t>
            </a:r>
            <a:r>
              <a:rPr lang="en-US" baseline="0"/>
              <a:t> ukupni rashod i stanje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Sheet1!$D$186:$K$186</c:f>
              <c:strCache>
                <c:ptCount val="8"/>
                <c:pt idx="0">
                  <c:v>Mart</c:v>
                </c:pt>
                <c:pt idx="1">
                  <c:v>April</c:v>
                </c:pt>
                <c:pt idx="2">
                  <c:v>Maj</c:v>
                </c:pt>
                <c:pt idx="3">
                  <c:v>Jun</c:v>
                </c:pt>
                <c:pt idx="4">
                  <c:v>Jul</c:v>
                </c:pt>
                <c:pt idx="5">
                  <c:v>Avgust</c:v>
                </c:pt>
                <c:pt idx="6">
                  <c:v>Septembar</c:v>
                </c:pt>
                <c:pt idx="7">
                  <c:v>Oktobar</c:v>
                </c:pt>
              </c:strCache>
            </c:strRef>
          </c:xVal>
          <c:yVal>
            <c:numRef>
              <c:f>Sheet1!$D$194:$K$194</c:f>
              <c:numCache>
                <c:formatCode>_("RSD"* #,##0_);_("RSD"* \(#,##0\);_("RSD"* "-"_);_(@_)</c:formatCode>
                <c:ptCount val="8"/>
                <c:pt idx="0">
                  <c:v>367175.0368283299</c:v>
                </c:pt>
                <c:pt idx="1">
                  <c:v>367175.0368283299</c:v>
                </c:pt>
                <c:pt idx="2">
                  <c:v>5883826.8412560811</c:v>
                </c:pt>
                <c:pt idx="3">
                  <c:v>5883826.8412560811</c:v>
                </c:pt>
                <c:pt idx="4">
                  <c:v>5883826.8412560811</c:v>
                </c:pt>
                <c:pt idx="5">
                  <c:v>5883826.8412560811</c:v>
                </c:pt>
                <c:pt idx="6">
                  <c:v>367175.0368283299</c:v>
                </c:pt>
                <c:pt idx="7">
                  <c:v>367175.0368283299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Sheet1!$D$186:$K$186</c:f>
              <c:strCache>
                <c:ptCount val="8"/>
                <c:pt idx="0">
                  <c:v>Mart</c:v>
                </c:pt>
                <c:pt idx="1">
                  <c:v>April</c:v>
                </c:pt>
                <c:pt idx="2">
                  <c:v>Maj</c:v>
                </c:pt>
                <c:pt idx="3">
                  <c:v>Jun</c:v>
                </c:pt>
                <c:pt idx="4">
                  <c:v>Jul</c:v>
                </c:pt>
                <c:pt idx="5">
                  <c:v>Avgust</c:v>
                </c:pt>
                <c:pt idx="6">
                  <c:v>Septembar</c:v>
                </c:pt>
                <c:pt idx="7">
                  <c:v>Oktobar</c:v>
                </c:pt>
              </c:strCache>
            </c:strRef>
          </c:xVal>
          <c:yVal>
            <c:numRef>
              <c:f>Sheet1!$D$199:$K$199</c:f>
              <c:numCache>
                <c:formatCode>_("RSD"* #,##0_);_("RSD"* \(#,##0\);_("RSD"* "-"_);_(@_)</c:formatCode>
                <c:ptCount val="8"/>
                <c:pt idx="0">
                  <c:v>73435.007365665981</c:v>
                </c:pt>
                <c:pt idx="1">
                  <c:v>73435.007365665981</c:v>
                </c:pt>
                <c:pt idx="2">
                  <c:v>1176765.3682512164</c:v>
                </c:pt>
                <c:pt idx="3">
                  <c:v>1176765.3682512164</c:v>
                </c:pt>
                <c:pt idx="4">
                  <c:v>1176765.3682512164</c:v>
                </c:pt>
                <c:pt idx="5">
                  <c:v>1176765.3682512164</c:v>
                </c:pt>
                <c:pt idx="6">
                  <c:v>73435.007365665981</c:v>
                </c:pt>
                <c:pt idx="7">
                  <c:v>73435.007365665981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Sheet1!$D$186:$K$186</c:f>
              <c:strCache>
                <c:ptCount val="8"/>
                <c:pt idx="0">
                  <c:v>Mart</c:v>
                </c:pt>
                <c:pt idx="1">
                  <c:v>April</c:v>
                </c:pt>
                <c:pt idx="2">
                  <c:v>Maj</c:v>
                </c:pt>
                <c:pt idx="3">
                  <c:v>Jun</c:v>
                </c:pt>
                <c:pt idx="4">
                  <c:v>Jul</c:v>
                </c:pt>
                <c:pt idx="5">
                  <c:v>Avgust</c:v>
                </c:pt>
                <c:pt idx="6">
                  <c:v>Septembar</c:v>
                </c:pt>
                <c:pt idx="7">
                  <c:v>Oktobar</c:v>
                </c:pt>
              </c:strCache>
            </c:strRef>
          </c:xVal>
          <c:yVal>
            <c:numRef>
              <c:f>Sheet1!$D$201:$K$201</c:f>
              <c:numCache>
                <c:formatCode>_("RSD"* #,##0_);_("RSD"* \(#,##0\);_("RSD"* "-"_);_(@_)</c:formatCode>
                <c:ptCount val="8"/>
                <c:pt idx="0">
                  <c:v>5973478.6559345834</c:v>
                </c:pt>
                <c:pt idx="1">
                  <c:v>6267218.6853972469</c:v>
                </c:pt>
                <c:pt idx="2">
                  <c:v>10974280.158402111</c:v>
                </c:pt>
                <c:pt idx="3">
                  <c:v>15681341.631406978</c:v>
                </c:pt>
                <c:pt idx="4">
                  <c:v>20388403.104411844</c:v>
                </c:pt>
                <c:pt idx="5">
                  <c:v>25095464.577416711</c:v>
                </c:pt>
                <c:pt idx="6">
                  <c:v>25389204.606879376</c:v>
                </c:pt>
                <c:pt idx="7">
                  <c:v>25682944.636342041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734224"/>
        <c:axId val="540734768"/>
      </c:scatterChart>
      <c:valAx>
        <c:axId val="54073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4768"/>
        <c:crosses val="autoZero"/>
        <c:crossBetween val="midCat"/>
      </c:valAx>
      <c:valAx>
        <c:axId val="54073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SD&quot;* #,##0_);_(&quot;RSD&quot;* \(#,##0\);_(&quot;RSD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Uticaj</a:t>
            </a:r>
            <a:r>
              <a:rPr lang="en-US" baseline="0"/>
              <a:t> promene kamatne stope na iznos glavnice i kamate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'Analiza osetljivosti'!$E$15:$V$15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'Analiza osetljivosti'!$E$25:$V$25</c:f>
              <c:numCache>
                <c:formatCode>_("RSD"* #,##0_);_("RSD"* \(#,##0\);_("RSD"* "-"_);_(@_)</c:formatCode>
                <c:ptCount val="18"/>
                <c:pt idx="0">
                  <c:v>43767.153333333335</c:v>
                </c:pt>
                <c:pt idx="1">
                  <c:v>41470.531839115254</c:v>
                </c:pt>
                <c:pt idx="2">
                  <c:v>39158.599534935718</c:v>
                </c:pt>
                <c:pt idx="3">
                  <c:v>36831.254348728318</c:v>
                </c:pt>
                <c:pt idx="4">
                  <c:v>34488.393527946202</c:v>
                </c:pt>
                <c:pt idx="5">
                  <c:v>32129.913635025536</c:v>
                </c:pt>
                <c:pt idx="6">
                  <c:v>29755.710542818739</c:v>
                </c:pt>
                <c:pt idx="7">
                  <c:v>27365.679429997224</c:v>
                </c:pt>
                <c:pt idx="8">
                  <c:v>24959.714776423571</c:v>
                </c:pt>
                <c:pt idx="9">
                  <c:v>22537.710358492754</c:v>
                </c:pt>
                <c:pt idx="10">
                  <c:v>20099.559244442404</c:v>
                </c:pt>
                <c:pt idx="11">
                  <c:v>17645.153789631717</c:v>
                </c:pt>
                <c:pt idx="12">
                  <c:v>15174.385631788957</c:v>
                </c:pt>
                <c:pt idx="13">
                  <c:v>12687.145686227246</c:v>
                </c:pt>
                <c:pt idx="14">
                  <c:v>10183.324141028459</c:v>
                </c:pt>
                <c:pt idx="15">
                  <c:v>7662.8104521950117</c:v>
                </c:pt>
                <c:pt idx="16">
                  <c:v>5125.4933387693418</c:v>
                </c:pt>
                <c:pt idx="17">
                  <c:v>2571.2607779208338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'Analiza osetljivosti'!$E$15:$V$15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'Analiza osetljivosti'!$E$26:$V$26</c:f>
              <c:numCache>
                <c:formatCode>_("RSD"* #,##0_);_("RSD"* \(#,##0\);_("RSD"* "-"_);_(@_)</c:formatCode>
                <c:ptCount val="18"/>
                <c:pt idx="0">
                  <c:v>54708.941666666666</c:v>
                </c:pt>
                <c:pt idx="1">
                  <c:v>51879.190226899256</c:v>
                </c:pt>
                <c:pt idx="2">
                  <c:v>49025.85752513379</c:v>
                </c:pt>
                <c:pt idx="3">
                  <c:v>46148.747050853606</c:v>
                </c:pt>
                <c:pt idx="4">
                  <c:v>43247.660655954423</c:v>
                </c:pt>
                <c:pt idx="5">
                  <c:v>40322.398541097755</c:v>
                </c:pt>
                <c:pt idx="6">
                  <c:v>37372.759241950604</c:v>
                </c:pt>
                <c:pt idx="7">
                  <c:v>34398.539615310568</c:v>
                </c:pt>
                <c:pt idx="8">
                  <c:v>31399.534825115192</c:v>
                </c:pt>
                <c:pt idx="9">
                  <c:v>28375.538328334856</c:v>
                </c:pt>
                <c:pt idx="10">
                  <c:v>25326.341860748016</c:v>
                </c:pt>
                <c:pt idx="11">
                  <c:v>22251.735422597954</c:v>
                </c:pt>
                <c:pt idx="12">
                  <c:v>19151.507264129974</c:v>
                </c:pt>
                <c:pt idx="13">
                  <c:v>16025.443871008094</c:v>
                </c:pt>
                <c:pt idx="14">
                  <c:v>12873.329949610199</c:v>
                </c:pt>
                <c:pt idx="15">
                  <c:v>9694.9484122006543</c:v>
                </c:pt>
                <c:pt idx="16">
                  <c:v>6490.0803619793651</c:v>
                </c:pt>
                <c:pt idx="17">
                  <c:v>3258.5050780062315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'Analiza osetljivosti'!$E$15:$V$15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'Analiza osetljivosti'!$E$33:$V$33</c:f>
              <c:numCache>
                <c:formatCode>_("RSD"* #,##0_);_("RSD"* \(#,##0\);_("RSD"* "-"_);_(@_)</c:formatCode>
                <c:ptCount val="18"/>
                <c:pt idx="0">
                  <c:v>344493.22413271223</c:v>
                </c:pt>
                <c:pt idx="1">
                  <c:v>346789.8456269303</c:v>
                </c:pt>
                <c:pt idx="2">
                  <c:v>349101.77793110983</c:v>
                </c:pt>
                <c:pt idx="3">
                  <c:v>351429.12311731721</c:v>
                </c:pt>
                <c:pt idx="4">
                  <c:v>353771.98393809935</c:v>
                </c:pt>
                <c:pt idx="5">
                  <c:v>356130.46383102</c:v>
                </c:pt>
                <c:pt idx="6">
                  <c:v>358504.66692322679</c:v>
                </c:pt>
                <c:pt idx="7">
                  <c:v>360894.69803604833</c:v>
                </c:pt>
                <c:pt idx="8">
                  <c:v>363300.66268962197</c:v>
                </c:pt>
                <c:pt idx="9">
                  <c:v>365722.66710755281</c:v>
                </c:pt>
                <c:pt idx="10">
                  <c:v>368160.81822160317</c:v>
                </c:pt>
                <c:pt idx="11">
                  <c:v>370615.22367641382</c:v>
                </c:pt>
                <c:pt idx="12">
                  <c:v>373085.99183425662</c:v>
                </c:pt>
                <c:pt idx="13">
                  <c:v>375573.23177981831</c:v>
                </c:pt>
                <c:pt idx="14">
                  <c:v>378077.0533250171</c:v>
                </c:pt>
                <c:pt idx="15">
                  <c:v>380597.56701385055</c:v>
                </c:pt>
                <c:pt idx="16">
                  <c:v>383134.88412727619</c:v>
                </c:pt>
                <c:pt idx="17">
                  <c:v>385689.11668812472</c:v>
                </c:pt>
              </c:numCache>
            </c:numRef>
          </c:yVal>
          <c:smooth val="1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'Analiza osetljivosti'!$E$15:$V$15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'Analiza osetljivosti'!$E$34:$V$34</c:f>
              <c:numCache>
                <c:formatCode>_("RSD"* #,##0_);_("RSD"* \(#,##0\);_("RSD"* "-"_);_(@_)</c:formatCode>
                <c:ptCount val="18"/>
                <c:pt idx="0">
                  <c:v>339570.17277208879</c:v>
                </c:pt>
                <c:pt idx="1">
                  <c:v>342399.92421185621</c:v>
                </c:pt>
                <c:pt idx="2">
                  <c:v>345253.25691362168</c:v>
                </c:pt>
                <c:pt idx="3">
                  <c:v>348130.36738790182</c:v>
                </c:pt>
                <c:pt idx="4">
                  <c:v>351031.45378280099</c:v>
                </c:pt>
                <c:pt idx="5">
                  <c:v>353956.71589765768</c:v>
                </c:pt>
                <c:pt idx="6">
                  <c:v>356906.35519680486</c:v>
                </c:pt>
                <c:pt idx="7">
                  <c:v>359880.57482344488</c:v>
                </c:pt>
                <c:pt idx="8">
                  <c:v>362879.57961364026</c:v>
                </c:pt>
                <c:pt idx="9">
                  <c:v>365903.57611042057</c:v>
                </c:pt>
                <c:pt idx="10">
                  <c:v>368952.77257800743</c:v>
                </c:pt>
                <c:pt idx="11">
                  <c:v>372027.37901615747</c:v>
                </c:pt>
                <c:pt idx="12">
                  <c:v>375127.60717462545</c:v>
                </c:pt>
                <c:pt idx="13">
                  <c:v>378253.67056774732</c:v>
                </c:pt>
                <c:pt idx="14">
                  <c:v>381405.78448914521</c:v>
                </c:pt>
                <c:pt idx="15">
                  <c:v>384584.16602655477</c:v>
                </c:pt>
                <c:pt idx="16">
                  <c:v>387789.03407677606</c:v>
                </c:pt>
                <c:pt idx="17">
                  <c:v>391020.60936074919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726064"/>
        <c:axId val="374723376"/>
      </c:scatterChart>
      <c:valAx>
        <c:axId val="54072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23376"/>
        <c:crosses val="autoZero"/>
        <c:crossBetween val="midCat"/>
      </c:valAx>
      <c:valAx>
        <c:axId val="37472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SD&quot;* #,##0_);_(&quot;RSD&quot;* \(#,##0\);_(&quot;RSD&quot;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2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E$8" inc="1000" max="25000" min="13000" page="10" val="25000"/>
</file>

<file path=xl/ctrlProps/ctrlProp2.xml><?xml version="1.0" encoding="utf-8"?>
<formControlPr xmlns="http://schemas.microsoft.com/office/spreadsheetml/2009/9/main" objectType="Spin" dx="22" fmlaLink="$I$9" inc="500" max="5000" min="1000" page="10" val="1000"/>
</file>

<file path=xl/ctrlProps/ctrlProp3.xml><?xml version="1.0" encoding="utf-8"?>
<formControlPr xmlns="http://schemas.microsoft.com/office/spreadsheetml/2009/9/main" objectType="Spin" dx="22" fmlaLink="$I$10" inc="1000" max="6000" min="600" page="10" val="600"/>
</file>

<file path=xl/ctrlProps/ctrlProp4.xml><?xml version="1.0" encoding="utf-8"?>
<formControlPr xmlns="http://schemas.microsoft.com/office/spreadsheetml/2009/9/main" objectType="Spin" dx="22" fmlaLink="$I$11" inc="1000" max="12000" min="5000" page="10" val="500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275165</xdr:colOff>
      <xdr:row>111</xdr:row>
      <xdr:rowOff>83607</xdr:rowOff>
    </xdr:from>
    <xdr:to>
      <xdr:col>9</xdr:col>
      <xdr:colOff>243415</xdr:colOff>
      <xdr:row>124</xdr:row>
      <xdr:rowOff>159807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1301751</xdr:colOff>
      <xdr:row>145</xdr:row>
      <xdr:rowOff>20485</xdr:rowOff>
    </xdr:from>
    <xdr:to>
      <xdr:col>5</xdr:col>
      <xdr:colOff>1492249</xdr:colOff>
      <xdr:row>156</xdr:row>
      <xdr:rowOff>89583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4168" y="32638318"/>
          <a:ext cx="3428998" cy="2164598"/>
        </a:xfrm>
        <a:prstGeom prst="rect">
          <a:avLst/>
        </a:prstGeom>
      </xdr:spPr>
    </xdr:pic>
    <xdr:clientData/>
  </xdr:twoCellAnchor>
  <xdr:twoCellAnchor>
    <xdr:from>
      <xdr:col>3</xdr:col>
      <xdr:colOff>1143000</xdr:colOff>
      <xdr:row>201</xdr:row>
      <xdr:rowOff>42333</xdr:rowOff>
    </xdr:from>
    <xdr:to>
      <xdr:col>7</xdr:col>
      <xdr:colOff>338666</xdr:colOff>
      <xdr:row>216</xdr:row>
      <xdr:rowOff>43389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37</xdr:row>
      <xdr:rowOff>52386</xdr:rowOff>
    </xdr:from>
    <xdr:to>
      <xdr:col>7</xdr:col>
      <xdr:colOff>76199</xdr:colOff>
      <xdr:row>52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38100</xdr:colOff>
          <xdr:row>6</xdr:row>
          <xdr:rowOff>1104900</xdr:rowOff>
        </xdr:from>
        <xdr:to>
          <xdr:col>7</xdr:col>
          <xdr:colOff>838200</xdr:colOff>
          <xdr:row>8</xdr:row>
          <xdr:rowOff>9525</xdr:rowOff>
        </xdr:to>
        <xdr:sp macro="" textlink="">
          <xdr:nvSpPr>
            <xdr:cNvPr id="3079" name="Spinner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8</xdr:row>
          <xdr:rowOff>38100</xdr:rowOff>
        </xdr:from>
        <xdr:to>
          <xdr:col>7</xdr:col>
          <xdr:colOff>819150</xdr:colOff>
          <xdr:row>8</xdr:row>
          <xdr:rowOff>361950</xdr:rowOff>
        </xdr:to>
        <xdr:sp macro="" textlink="">
          <xdr:nvSpPr>
            <xdr:cNvPr id="3080" name="Spinner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9</xdr:row>
          <xdr:rowOff>19050</xdr:rowOff>
        </xdr:from>
        <xdr:to>
          <xdr:col>8</xdr:col>
          <xdr:colOff>0</xdr:colOff>
          <xdr:row>9</xdr:row>
          <xdr:rowOff>352425</xdr:rowOff>
        </xdr:to>
        <xdr:sp macro="" textlink="">
          <xdr:nvSpPr>
            <xdr:cNvPr id="3081" name="Spinner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47625</xdr:colOff>
          <xdr:row>9</xdr:row>
          <xdr:rowOff>381000</xdr:rowOff>
        </xdr:from>
        <xdr:to>
          <xdr:col>7</xdr:col>
          <xdr:colOff>819150</xdr:colOff>
          <xdr:row>10</xdr:row>
          <xdr:rowOff>371475</xdr:rowOff>
        </xdr:to>
        <xdr:sp macro="" textlink="">
          <xdr:nvSpPr>
            <xdr:cNvPr id="3082" name="Spinner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0:V313"/>
  <sheetViews>
    <sheetView topLeftCell="A307" zoomScale="90" zoomScaleNormal="90" workbookViewId="0">
      <selection activeCell="D222" sqref="D222"/>
    </sheetView>
  </sheetViews>
  <sheetFormatPr defaultRowHeight="15" x14ac:dyDescent="0.25"/>
  <cols>
    <col min="2" max="2" width="18.28515625" bestFit="1" customWidth="1"/>
    <col min="3" max="3" width="54.5703125" customWidth="1"/>
    <col min="4" max="4" width="28.5703125" customWidth="1"/>
    <col min="5" max="5" width="20" customWidth="1"/>
    <col min="6" max="6" width="29.85546875" customWidth="1"/>
    <col min="7" max="7" width="17.5703125" bestFit="1" customWidth="1"/>
    <col min="8" max="8" width="21.28515625" customWidth="1"/>
    <col min="9" max="9" width="18.28515625" customWidth="1"/>
    <col min="10" max="10" width="27.85546875" customWidth="1"/>
    <col min="11" max="11" width="24.7109375" customWidth="1"/>
    <col min="12" max="12" width="16.42578125" bestFit="1" customWidth="1"/>
    <col min="13" max="13" width="21.28515625" customWidth="1"/>
    <col min="14" max="14" width="30.140625" customWidth="1"/>
    <col min="15" max="15" width="17.5703125" bestFit="1" customWidth="1"/>
    <col min="16" max="17" width="16.42578125" bestFit="1" customWidth="1"/>
    <col min="18" max="18" width="29.85546875" customWidth="1"/>
    <col min="19" max="19" width="19.28515625" customWidth="1"/>
    <col min="20" max="20" width="14.85546875" bestFit="1" customWidth="1"/>
    <col min="21" max="21" width="19.7109375" customWidth="1"/>
    <col min="22" max="22" width="14.85546875" bestFit="1" customWidth="1"/>
  </cols>
  <sheetData>
    <row r="10" spans="3:8" ht="45" x14ac:dyDescent="0.25">
      <c r="C10" s="34" t="s">
        <v>0</v>
      </c>
      <c r="D10" s="8" t="s">
        <v>46</v>
      </c>
      <c r="E10" s="9" t="s">
        <v>133</v>
      </c>
      <c r="F10" s="9" t="s">
        <v>43</v>
      </c>
      <c r="G10" s="9" t="s">
        <v>44</v>
      </c>
      <c r="H10" s="10" t="s">
        <v>134</v>
      </c>
    </row>
    <row r="11" spans="3:8" x14ac:dyDescent="0.25">
      <c r="C11" s="11" t="s">
        <v>215</v>
      </c>
      <c r="D11" s="12">
        <v>0.4</v>
      </c>
      <c r="E11" s="12">
        <v>0.3</v>
      </c>
      <c r="F11" s="12">
        <v>0.05</v>
      </c>
      <c r="G11" s="12">
        <v>0.1</v>
      </c>
      <c r="H11" s="13">
        <v>0.15</v>
      </c>
    </row>
    <row r="12" spans="3:8" x14ac:dyDescent="0.25">
      <c r="C12" s="14" t="s">
        <v>216</v>
      </c>
      <c r="D12" s="15">
        <v>0.2</v>
      </c>
      <c r="E12" s="15">
        <v>0.2</v>
      </c>
      <c r="F12" s="15">
        <v>0.2</v>
      </c>
      <c r="G12" s="15">
        <v>0.2</v>
      </c>
      <c r="H12" s="16">
        <v>0.2</v>
      </c>
    </row>
    <row r="13" spans="3:8" x14ac:dyDescent="0.25">
      <c r="C13" s="14" t="s">
        <v>228</v>
      </c>
      <c r="D13" s="15">
        <v>200</v>
      </c>
      <c r="E13" s="15">
        <v>150</v>
      </c>
      <c r="F13" s="15"/>
      <c r="G13" s="15"/>
      <c r="H13" s="16"/>
    </row>
    <row r="14" spans="3:8" x14ac:dyDescent="0.25">
      <c r="C14" s="11" t="s">
        <v>217</v>
      </c>
      <c r="D14" s="17">
        <v>0.43</v>
      </c>
      <c r="E14" s="17">
        <v>0.67</v>
      </c>
      <c r="F14" s="17"/>
      <c r="G14" s="17"/>
      <c r="H14" s="18"/>
    </row>
    <row r="15" spans="3:8" x14ac:dyDescent="0.25">
      <c r="C15" s="11" t="s">
        <v>218</v>
      </c>
      <c r="D15" s="17">
        <v>86</v>
      </c>
      <c r="E15" s="17">
        <v>100</v>
      </c>
      <c r="F15" s="17">
        <v>60</v>
      </c>
      <c r="G15" s="17">
        <v>60</v>
      </c>
      <c r="H15" s="18"/>
    </row>
    <row r="16" spans="3:8" x14ac:dyDescent="0.25">
      <c r="C16" s="14" t="s">
        <v>219</v>
      </c>
      <c r="D16" s="102">
        <v>160</v>
      </c>
      <c r="E16" s="102">
        <v>120</v>
      </c>
      <c r="F16" s="102">
        <v>500</v>
      </c>
      <c r="G16" s="102">
        <v>600</v>
      </c>
      <c r="H16" s="18"/>
    </row>
    <row r="17" spans="3:15" x14ac:dyDescent="0.25">
      <c r="C17" s="14" t="s">
        <v>226</v>
      </c>
      <c r="D17" s="105">
        <f>D16*D15/1000</f>
        <v>13.76</v>
      </c>
      <c r="E17" s="105">
        <f>E16*E15/1000</f>
        <v>12</v>
      </c>
      <c r="F17" s="105">
        <f>F16*F15/1000</f>
        <v>30</v>
      </c>
      <c r="G17" s="105">
        <f>G16*G15/1000</f>
        <v>36</v>
      </c>
      <c r="H17" s="106">
        <f>D17/3+E17/3+F17/3</f>
        <v>18.586666666666666</v>
      </c>
    </row>
    <row r="18" spans="3:15" x14ac:dyDescent="0.25">
      <c r="C18" s="11" t="s">
        <v>220</v>
      </c>
      <c r="D18" s="19">
        <v>1</v>
      </c>
      <c r="E18" s="17">
        <v>1.5</v>
      </c>
      <c r="F18" s="17">
        <v>0.9</v>
      </c>
      <c r="G18" s="17">
        <v>0.9</v>
      </c>
      <c r="H18" s="18"/>
    </row>
    <row r="19" spans="3:15" x14ac:dyDescent="0.25">
      <c r="C19" s="14" t="s">
        <v>221</v>
      </c>
      <c r="D19" s="20">
        <f>100/7</f>
        <v>14.285714285714286</v>
      </c>
      <c r="E19" s="17">
        <v>10</v>
      </c>
      <c r="F19" s="17">
        <v>26.7</v>
      </c>
      <c r="G19" s="17">
        <v>26.7</v>
      </c>
      <c r="H19" s="18">
        <v>26.7</v>
      </c>
    </row>
    <row r="20" spans="3:15" x14ac:dyDescent="0.25">
      <c r="C20" s="11" t="s">
        <v>222</v>
      </c>
      <c r="D20" s="103">
        <v>115</v>
      </c>
      <c r="E20" s="103">
        <v>115</v>
      </c>
      <c r="F20" s="103">
        <v>115</v>
      </c>
      <c r="G20" s="103">
        <v>115</v>
      </c>
      <c r="H20" s="104">
        <v>115</v>
      </c>
    </row>
    <row r="21" spans="3:15" x14ac:dyDescent="0.25">
      <c r="C21" s="11" t="s">
        <v>223</v>
      </c>
      <c r="D21" s="103">
        <f>D20*D19/1000</f>
        <v>1.6428571428571428</v>
      </c>
      <c r="E21" s="103">
        <f>E20*E19/1000</f>
        <v>1.1499999999999999</v>
      </c>
      <c r="F21" s="103">
        <f>F20*F19/1000</f>
        <v>3.0705</v>
      </c>
      <c r="G21" s="103">
        <f>G20*G19/1000</f>
        <v>3.0705</v>
      </c>
      <c r="H21" s="104">
        <f>H20*H19/1000</f>
        <v>3.0705</v>
      </c>
    </row>
    <row r="22" spans="3:15" x14ac:dyDescent="0.25">
      <c r="C22" s="14" t="s">
        <v>224</v>
      </c>
      <c r="D22" s="17">
        <v>93</v>
      </c>
      <c r="E22" s="17">
        <v>96</v>
      </c>
      <c r="F22" s="17">
        <v>66.7</v>
      </c>
      <c r="G22" s="17">
        <v>66.7</v>
      </c>
      <c r="H22" s="18">
        <f>D22/3+E22/3+F22/3</f>
        <v>85.233333333333334</v>
      </c>
    </row>
    <row r="23" spans="3:15" x14ac:dyDescent="0.25">
      <c r="C23" s="14" t="s">
        <v>225</v>
      </c>
      <c r="D23" s="103">
        <v>7</v>
      </c>
      <c r="E23" s="103">
        <v>7.2</v>
      </c>
      <c r="F23" s="103">
        <v>5.0999999999999996</v>
      </c>
      <c r="G23" s="103">
        <v>5.0999999999999996</v>
      </c>
      <c r="H23" s="104">
        <f>D23/3+E23/3+F23/3</f>
        <v>6.4333333333333336</v>
      </c>
    </row>
    <row r="24" spans="3:15" x14ac:dyDescent="0.25">
      <c r="C24" s="14"/>
      <c r="D24" s="17"/>
      <c r="E24" s="17"/>
      <c r="F24" s="17"/>
      <c r="G24" s="17"/>
      <c r="H24" s="18"/>
    </row>
    <row r="25" spans="3:15" x14ac:dyDescent="0.25">
      <c r="C25" s="21" t="s">
        <v>132</v>
      </c>
      <c r="D25" s="107">
        <f>D17+D21+D23</f>
        <v>22.402857142857144</v>
      </c>
      <c r="E25" s="107">
        <f>E17+E21+E23</f>
        <v>20.350000000000001</v>
      </c>
      <c r="F25" s="107">
        <f>F17+F21+F23</f>
        <v>38.170500000000004</v>
      </c>
      <c r="G25" s="107">
        <f>G17+G21+G23</f>
        <v>44.170500000000004</v>
      </c>
      <c r="H25" s="108">
        <f>H17+H21+H23</f>
        <v>28.090499999999999</v>
      </c>
    </row>
    <row r="26" spans="3:15" x14ac:dyDescent="0.25">
      <c r="C26" s="1"/>
      <c r="D26" s="4"/>
      <c r="E26" s="4"/>
      <c r="F26" s="4"/>
      <c r="G26" s="4"/>
      <c r="H26" s="4"/>
    </row>
    <row r="30" spans="3:15" ht="30" x14ac:dyDescent="0.25">
      <c r="C30" s="7"/>
      <c r="D30" s="8"/>
      <c r="E30" s="44" t="s">
        <v>12</v>
      </c>
      <c r="F30" s="9" t="s">
        <v>231</v>
      </c>
      <c r="G30" s="8" t="s">
        <v>13</v>
      </c>
      <c r="H30" s="22" t="s">
        <v>14</v>
      </c>
      <c r="I30" s="8"/>
      <c r="J30" s="8"/>
      <c r="K30" s="8"/>
      <c r="L30" s="8"/>
      <c r="M30" s="8"/>
      <c r="N30" s="8"/>
      <c r="O30" s="22"/>
    </row>
    <row r="31" spans="3:15" x14ac:dyDescent="0.25">
      <c r="C31" s="14"/>
      <c r="D31" s="15"/>
      <c r="E31" s="23"/>
      <c r="F31" s="45">
        <v>6.7000000000000002E-3</v>
      </c>
      <c r="G31" s="45">
        <v>1.17E-2</v>
      </c>
      <c r="H31" s="46">
        <v>3.3E-3</v>
      </c>
      <c r="I31" s="15"/>
      <c r="J31" s="15"/>
      <c r="K31" s="15"/>
      <c r="L31" s="15"/>
      <c r="M31" s="15"/>
      <c r="N31" s="15"/>
      <c r="O31" s="16"/>
    </row>
    <row r="32" spans="3:15" x14ac:dyDescent="0.25"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6"/>
    </row>
    <row r="33" spans="3:22" x14ac:dyDescent="0.25"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6"/>
    </row>
    <row r="34" spans="3:22" x14ac:dyDescent="0.25"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6"/>
    </row>
    <row r="35" spans="3:22" x14ac:dyDescent="0.25">
      <c r="C35" s="30" t="s">
        <v>135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</row>
    <row r="36" spans="3:22" x14ac:dyDescent="0.25">
      <c r="C36" s="14"/>
      <c r="D36" s="15" t="s">
        <v>15</v>
      </c>
      <c r="E36" s="15" t="s">
        <v>16</v>
      </c>
      <c r="F36" s="15" t="s">
        <v>17</v>
      </c>
      <c r="G36" s="15" t="s">
        <v>18</v>
      </c>
      <c r="H36" s="15" t="s">
        <v>19</v>
      </c>
      <c r="I36" s="15" t="s">
        <v>20</v>
      </c>
      <c r="J36" s="15" t="s">
        <v>21</v>
      </c>
      <c r="K36" s="15" t="s">
        <v>22</v>
      </c>
      <c r="L36" s="15" t="s">
        <v>23</v>
      </c>
      <c r="M36" s="15" t="s">
        <v>24</v>
      </c>
      <c r="N36" s="15" t="s">
        <v>25</v>
      </c>
      <c r="O36" s="16" t="s">
        <v>26</v>
      </c>
    </row>
    <row r="37" spans="3:22" x14ac:dyDescent="0.25">
      <c r="C37" s="14" t="s">
        <v>27</v>
      </c>
      <c r="D37" s="15">
        <v>4500</v>
      </c>
      <c r="E37" s="15">
        <v>4500</v>
      </c>
      <c r="F37" s="15">
        <v>255000</v>
      </c>
      <c r="G37" s="15">
        <v>255000</v>
      </c>
      <c r="H37" s="15">
        <v>2340000</v>
      </c>
      <c r="I37" s="15">
        <v>2340000</v>
      </c>
      <c r="J37" s="15">
        <v>2340000</v>
      </c>
      <c r="K37" s="15">
        <v>2340000</v>
      </c>
      <c r="L37" s="15">
        <v>255000</v>
      </c>
      <c r="M37" s="15">
        <v>255000</v>
      </c>
      <c r="N37" s="15">
        <v>4500</v>
      </c>
      <c r="O37" s="16">
        <v>4500</v>
      </c>
    </row>
    <row r="38" spans="3:22" x14ac:dyDescent="0.25">
      <c r="C38" s="23" t="s">
        <v>28</v>
      </c>
      <c r="D38" s="24">
        <f>D37*H31</f>
        <v>14.85</v>
      </c>
      <c r="E38" s="24">
        <f>E37*H31</f>
        <v>14.85</v>
      </c>
      <c r="F38" s="33">
        <f>F37*F31</f>
        <v>1708.5</v>
      </c>
      <c r="G38" s="33">
        <f>G37*F31</f>
        <v>1708.5</v>
      </c>
      <c r="H38" s="33">
        <f>H37*G31</f>
        <v>27378</v>
      </c>
      <c r="I38" s="33">
        <f>I37*G31</f>
        <v>27378</v>
      </c>
      <c r="J38" s="33">
        <f>J37*G31</f>
        <v>27378</v>
      </c>
      <c r="K38" s="33">
        <f>K37*G31</f>
        <v>27378</v>
      </c>
      <c r="L38" s="33">
        <f>L37*F31</f>
        <v>1708.5</v>
      </c>
      <c r="M38" s="33">
        <f>M37*F31</f>
        <v>1708.5</v>
      </c>
      <c r="N38" s="26">
        <f>N37*H31</f>
        <v>14.85</v>
      </c>
      <c r="O38" s="27">
        <f>O37*H31</f>
        <v>14.85</v>
      </c>
    </row>
    <row r="47" spans="3:22" x14ac:dyDescent="0.25">
      <c r="C47" s="25" t="s">
        <v>2</v>
      </c>
    </row>
    <row r="48" spans="3:22" ht="30" x14ac:dyDescent="0.25">
      <c r="C48" s="6" t="s">
        <v>3</v>
      </c>
      <c r="D48" t="s">
        <v>10</v>
      </c>
      <c r="E48" s="1" t="s">
        <v>31</v>
      </c>
      <c r="F48" s="1" t="s">
        <v>30</v>
      </c>
      <c r="G48" s="1" t="s">
        <v>32</v>
      </c>
      <c r="H48" s="1" t="s">
        <v>33</v>
      </c>
      <c r="I48" s="1" t="s">
        <v>34</v>
      </c>
      <c r="J48" s="1" t="s">
        <v>35</v>
      </c>
      <c r="K48" s="1" t="s">
        <v>36</v>
      </c>
      <c r="L48" s="1" t="s">
        <v>37</v>
      </c>
      <c r="M48" s="1" t="s">
        <v>29</v>
      </c>
      <c r="N48" s="1" t="s">
        <v>11</v>
      </c>
      <c r="U48" t="s">
        <v>104</v>
      </c>
      <c r="V48" s="109">
        <f>L76</f>
        <v>6864668.4027571427</v>
      </c>
    </row>
    <row r="49" spans="2:22" ht="45" x14ac:dyDescent="0.25">
      <c r="B49" s="1" t="s">
        <v>140</v>
      </c>
      <c r="C49" t="s">
        <v>136</v>
      </c>
      <c r="D49" s="109">
        <v>5</v>
      </c>
      <c r="E49" s="28">
        <f>F38</f>
        <v>1708.5</v>
      </c>
      <c r="F49" s="28">
        <f>G38</f>
        <v>1708.5</v>
      </c>
      <c r="G49" s="28">
        <f>H38</f>
        <v>27378</v>
      </c>
      <c r="H49" s="28">
        <f t="shared" ref="H49:L49" si="0">I38</f>
        <v>27378</v>
      </c>
      <c r="I49" s="28">
        <f t="shared" si="0"/>
        <v>27378</v>
      </c>
      <c r="J49" s="28">
        <f t="shared" si="0"/>
        <v>27378</v>
      </c>
      <c r="K49" s="28">
        <f t="shared" si="0"/>
        <v>1708.5</v>
      </c>
      <c r="L49" s="28">
        <f t="shared" si="0"/>
        <v>1708.5</v>
      </c>
      <c r="M49" s="32">
        <f>SUM(E49:L49)</f>
        <v>116346</v>
      </c>
      <c r="N49" s="111">
        <f t="shared" ref="N49:N55" si="1">M49*D49</f>
        <v>581730</v>
      </c>
      <c r="U49" s="1" t="s">
        <v>105</v>
      </c>
      <c r="V49" s="109">
        <v>359595</v>
      </c>
    </row>
    <row r="50" spans="2:22" ht="45" x14ac:dyDescent="0.25">
      <c r="C50" t="s">
        <v>137</v>
      </c>
      <c r="D50" s="109">
        <v>2.5</v>
      </c>
      <c r="E50" s="28">
        <f>E49</f>
        <v>1708.5</v>
      </c>
      <c r="F50" s="28">
        <f>F49</f>
        <v>1708.5</v>
      </c>
      <c r="G50" s="28">
        <f t="shared" ref="G50:M50" si="2">G49</f>
        <v>27378</v>
      </c>
      <c r="H50" s="28">
        <f t="shared" si="2"/>
        <v>27378</v>
      </c>
      <c r="I50" s="28">
        <f t="shared" si="2"/>
        <v>27378</v>
      </c>
      <c r="J50" s="28">
        <f t="shared" si="2"/>
        <v>27378</v>
      </c>
      <c r="K50" s="28">
        <f t="shared" si="2"/>
        <v>1708.5</v>
      </c>
      <c r="L50" s="28">
        <f t="shared" si="2"/>
        <v>1708.5</v>
      </c>
      <c r="M50" s="32">
        <f t="shared" si="2"/>
        <v>116346</v>
      </c>
      <c r="N50" s="111">
        <f t="shared" si="1"/>
        <v>290865</v>
      </c>
      <c r="U50" s="1" t="s">
        <v>39</v>
      </c>
      <c r="V50" s="109">
        <f>V48-V49</f>
        <v>6505073.4027571427</v>
      </c>
    </row>
    <row r="51" spans="2:22" ht="30" x14ac:dyDescent="0.25">
      <c r="B51" s="1" t="s">
        <v>141</v>
      </c>
      <c r="C51" t="s">
        <v>9</v>
      </c>
      <c r="D51" s="109">
        <v>15000</v>
      </c>
      <c r="M51">
        <v>1</v>
      </c>
      <c r="N51" s="111">
        <f t="shared" si="1"/>
        <v>15000</v>
      </c>
      <c r="U51" s="1" t="s">
        <v>47</v>
      </c>
      <c r="V51" s="109">
        <v>60000</v>
      </c>
    </row>
    <row r="52" spans="2:22" ht="30" x14ac:dyDescent="0.25">
      <c r="B52" s="1"/>
      <c r="C52" t="s">
        <v>67</v>
      </c>
      <c r="D52" s="109">
        <v>60000</v>
      </c>
      <c r="M52">
        <v>1</v>
      </c>
      <c r="N52" s="111">
        <f t="shared" si="1"/>
        <v>60000</v>
      </c>
      <c r="U52" s="1" t="s">
        <v>48</v>
      </c>
      <c r="V52" s="111">
        <f>V50+V51</f>
        <v>6565073.4027571427</v>
      </c>
    </row>
    <row r="53" spans="2:22" x14ac:dyDescent="0.25">
      <c r="B53" s="1"/>
      <c r="C53" t="s">
        <v>138</v>
      </c>
      <c r="D53" s="109">
        <v>12000</v>
      </c>
      <c r="M53">
        <v>1</v>
      </c>
      <c r="N53" s="111">
        <f t="shared" si="1"/>
        <v>12000</v>
      </c>
    </row>
    <row r="54" spans="2:22" x14ac:dyDescent="0.25">
      <c r="B54" s="1"/>
      <c r="C54" t="s">
        <v>125</v>
      </c>
      <c r="D54" s="109">
        <v>175000</v>
      </c>
      <c r="M54">
        <v>1</v>
      </c>
      <c r="N54" s="111">
        <f t="shared" si="1"/>
        <v>175000</v>
      </c>
    </row>
    <row r="55" spans="2:22" ht="30" x14ac:dyDescent="0.25">
      <c r="B55" s="1"/>
      <c r="C55" s="1" t="s">
        <v>139</v>
      </c>
      <c r="D55" s="109">
        <v>60000</v>
      </c>
      <c r="M55">
        <v>3</v>
      </c>
      <c r="N55" s="111">
        <f t="shared" si="1"/>
        <v>180000</v>
      </c>
      <c r="O55" s="1" t="s">
        <v>38</v>
      </c>
    </row>
    <row r="56" spans="2:22" ht="30" x14ac:dyDescent="0.25">
      <c r="B56" s="1" t="s">
        <v>142</v>
      </c>
      <c r="C56" s="1" t="s">
        <v>143</v>
      </c>
      <c r="D56" s="109">
        <v>4000</v>
      </c>
      <c r="N56" s="111">
        <f>O56*D56</f>
        <v>32000</v>
      </c>
      <c r="O56">
        <v>8</v>
      </c>
    </row>
    <row r="57" spans="2:22" x14ac:dyDescent="0.25">
      <c r="C57" s="6" t="s">
        <v>4</v>
      </c>
      <c r="D57" s="109"/>
      <c r="N57" s="111"/>
    </row>
    <row r="58" spans="2:22" ht="15.75" customHeight="1" x14ac:dyDescent="0.25">
      <c r="C58" t="s">
        <v>7</v>
      </c>
      <c r="D58" s="109">
        <v>60000</v>
      </c>
      <c r="M58">
        <v>2</v>
      </c>
      <c r="N58" s="111">
        <f>O56*D58*M58</f>
        <v>960000</v>
      </c>
    </row>
    <row r="59" spans="2:22" ht="15.75" customHeight="1" x14ac:dyDescent="0.25">
      <c r="C59" s="3" t="s">
        <v>144</v>
      </c>
      <c r="D59" s="109">
        <v>60000</v>
      </c>
      <c r="M59">
        <v>2</v>
      </c>
      <c r="N59" s="111">
        <f>O56*D59*M59</f>
        <v>960000</v>
      </c>
    </row>
    <row r="60" spans="2:22" x14ac:dyDescent="0.25">
      <c r="C60" s="6" t="s">
        <v>5</v>
      </c>
      <c r="D60" s="109"/>
      <c r="N60" s="111"/>
    </row>
    <row r="61" spans="2:22" x14ac:dyDescent="0.25">
      <c r="C61" t="s">
        <v>6</v>
      </c>
      <c r="D61" s="109">
        <v>36000</v>
      </c>
      <c r="M61">
        <v>1</v>
      </c>
      <c r="N61" s="111">
        <f>O56*D61*M61</f>
        <v>288000</v>
      </c>
    </row>
    <row r="62" spans="2:22" x14ac:dyDescent="0.25">
      <c r="C62" t="s">
        <v>145</v>
      </c>
      <c r="D62" s="109">
        <v>30000</v>
      </c>
      <c r="M62">
        <v>1</v>
      </c>
      <c r="N62" s="111">
        <f>O56*D62*M62</f>
        <v>240000</v>
      </c>
    </row>
    <row r="63" spans="2:22" s="5" customFormat="1" x14ac:dyDescent="0.25">
      <c r="C63" s="5" t="s">
        <v>64</v>
      </c>
      <c r="D63" s="110">
        <f>D140</f>
        <v>91000</v>
      </c>
      <c r="M63" s="5">
        <v>1</v>
      </c>
      <c r="N63" s="111">
        <f>M63*D63</f>
        <v>91000</v>
      </c>
    </row>
    <row r="64" spans="2:22" s="5" customFormat="1" x14ac:dyDescent="0.25"/>
    <row r="65" spans="1:12" s="5" customFormat="1" x14ac:dyDescent="0.25">
      <c r="C65" s="5" t="s">
        <v>8</v>
      </c>
      <c r="D65" s="5" t="s">
        <v>68</v>
      </c>
    </row>
    <row r="66" spans="1:12" s="5" customFormat="1" x14ac:dyDescent="0.25"/>
    <row r="67" spans="1:12" x14ac:dyDescent="0.25">
      <c r="C67" t="s">
        <v>146</v>
      </c>
      <c r="D67" s="111">
        <f>SUM(N49:N63)</f>
        <v>3885595</v>
      </c>
    </row>
    <row r="72" spans="1:12" ht="30" x14ac:dyDescent="0.25">
      <c r="B72" s="1"/>
      <c r="C72" s="55" t="s">
        <v>147</v>
      </c>
      <c r="D72" s="8" t="s">
        <v>46</v>
      </c>
      <c r="E72" s="9" t="s">
        <v>133</v>
      </c>
      <c r="F72" s="9" t="s">
        <v>43</v>
      </c>
      <c r="G72" s="9" t="s">
        <v>44</v>
      </c>
      <c r="H72" s="10" t="s">
        <v>148</v>
      </c>
    </row>
    <row r="73" spans="1:12" ht="60" x14ac:dyDescent="0.25">
      <c r="A73" s="56" t="s">
        <v>149</v>
      </c>
      <c r="B73" s="112">
        <f>SUM(N51:N63)</f>
        <v>3013000</v>
      </c>
      <c r="C73" s="14" t="s">
        <v>42</v>
      </c>
      <c r="D73" s="103">
        <f>D25</f>
        <v>22.402857142857144</v>
      </c>
      <c r="E73" s="103">
        <f>E25</f>
        <v>20.350000000000001</v>
      </c>
      <c r="F73" s="103">
        <f>F25</f>
        <v>38.170500000000004</v>
      </c>
      <c r="G73" s="103">
        <f>G25</f>
        <v>44.170500000000004</v>
      </c>
      <c r="H73" s="104">
        <f>H25</f>
        <v>28.090499999999999</v>
      </c>
      <c r="K73" s="29" t="s">
        <v>155</v>
      </c>
    </row>
    <row r="74" spans="1:12" ht="30" x14ac:dyDescent="0.25">
      <c r="C74" s="14" t="s">
        <v>227</v>
      </c>
      <c r="D74" s="103">
        <f>D49+D50</f>
        <v>7.5</v>
      </c>
      <c r="E74" s="103">
        <f>D49+D50</f>
        <v>7.5</v>
      </c>
      <c r="F74" s="103">
        <f>D49+D50</f>
        <v>7.5</v>
      </c>
      <c r="G74" s="103">
        <f>D49+D50</f>
        <v>7.5</v>
      </c>
      <c r="H74" s="104">
        <f>D49+D50</f>
        <v>7.5</v>
      </c>
      <c r="K74" s="1" t="s">
        <v>146</v>
      </c>
      <c r="L74" s="28">
        <f>D67</f>
        <v>3885595</v>
      </c>
    </row>
    <row r="75" spans="1:12" ht="30.75" thickBot="1" x14ac:dyDescent="0.3">
      <c r="C75" s="14" t="s">
        <v>150</v>
      </c>
      <c r="D75" s="103">
        <f>D73+D74</f>
        <v>29.902857142857144</v>
      </c>
      <c r="E75" s="103">
        <f>E73+E74</f>
        <v>27.85</v>
      </c>
      <c r="F75" s="103">
        <f>F73+F74</f>
        <v>45.670500000000004</v>
      </c>
      <c r="G75" s="103">
        <f>G73+G74</f>
        <v>51.670500000000004</v>
      </c>
      <c r="H75" s="104">
        <f>H73+H74</f>
        <v>35.590499999999999</v>
      </c>
      <c r="K75" s="1" t="s">
        <v>156</v>
      </c>
      <c r="L75" s="28">
        <f>D73*D76+E73*E76+F73*F76+G73*G76+H73*H76</f>
        <v>2979073.4027571427</v>
      </c>
    </row>
    <row r="76" spans="1:12" ht="30.75" thickBot="1" x14ac:dyDescent="0.3">
      <c r="C76" s="14" t="s">
        <v>45</v>
      </c>
      <c r="D76" s="57">
        <f>$M$49*D11</f>
        <v>46538.400000000001</v>
      </c>
      <c r="E76" s="57">
        <f>$M$49*E11</f>
        <v>34903.799999999996</v>
      </c>
      <c r="F76" s="57">
        <f t="shared" ref="F76:H76" si="3">$M$49*F11</f>
        <v>5817.3</v>
      </c>
      <c r="G76" s="57">
        <f t="shared" si="3"/>
        <v>11634.6</v>
      </c>
      <c r="H76" s="73">
        <f t="shared" si="3"/>
        <v>17451.899999999998</v>
      </c>
      <c r="K76" s="1" t="s">
        <v>157</v>
      </c>
      <c r="L76" s="42">
        <f>SUM(L74:L75)</f>
        <v>6864668.4027571427</v>
      </c>
    </row>
    <row r="77" spans="1:12" x14ac:dyDescent="0.25">
      <c r="C77" s="11" t="s">
        <v>151</v>
      </c>
      <c r="D77" s="12">
        <v>0.4</v>
      </c>
      <c r="E77" s="12">
        <f>E11</f>
        <v>0.3</v>
      </c>
      <c r="F77" s="12">
        <f>F11</f>
        <v>0.05</v>
      </c>
      <c r="G77" s="12">
        <f>G11</f>
        <v>0.1</v>
      </c>
      <c r="H77" s="13">
        <f>H11</f>
        <v>0.15</v>
      </c>
    </row>
    <row r="78" spans="1:12" x14ac:dyDescent="0.25">
      <c r="C78" s="14" t="s">
        <v>152</v>
      </c>
      <c r="D78" s="103">
        <f>$B$73*D77</f>
        <v>1205200</v>
      </c>
      <c r="E78" s="103">
        <f>$B$73*E77</f>
        <v>903900</v>
      </c>
      <c r="F78" s="103">
        <f t="shared" ref="F78:H78" si="4">$B$73*F77</f>
        <v>150650</v>
      </c>
      <c r="G78" s="103">
        <f t="shared" si="4"/>
        <v>301300</v>
      </c>
      <c r="H78" s="104">
        <f t="shared" si="4"/>
        <v>451950</v>
      </c>
    </row>
    <row r="79" spans="1:12" x14ac:dyDescent="0.25">
      <c r="C79" s="14" t="s">
        <v>153</v>
      </c>
      <c r="D79" s="103">
        <f>D78/D76</f>
        <v>25.896893747958675</v>
      </c>
      <c r="E79" s="103">
        <f>E78/E76</f>
        <v>25.896893747958678</v>
      </c>
      <c r="F79" s="103">
        <f>F78/F76</f>
        <v>25.896893747958675</v>
      </c>
      <c r="G79" s="103">
        <f>G78/G76</f>
        <v>25.896893747958675</v>
      </c>
      <c r="H79" s="104">
        <f>H78/H76</f>
        <v>25.896893747958678</v>
      </c>
    </row>
    <row r="80" spans="1:12" x14ac:dyDescent="0.25">
      <c r="C80" s="21" t="s">
        <v>154</v>
      </c>
      <c r="D80" s="107">
        <f>D75+D79</f>
        <v>55.799750890815815</v>
      </c>
      <c r="E80" s="107">
        <f>E75+E79</f>
        <v>53.74689374795868</v>
      </c>
      <c r="F80" s="107">
        <f>F75+F79</f>
        <v>71.567393747958675</v>
      </c>
      <c r="G80" s="107">
        <f>G75+G79</f>
        <v>77.567393747958675</v>
      </c>
      <c r="H80" s="108">
        <f>H75+H79</f>
        <v>61.487393747958677</v>
      </c>
    </row>
    <row r="81" spans="3:8" x14ac:dyDescent="0.25">
      <c r="C81" s="1"/>
      <c r="D81" s="4"/>
      <c r="E81" s="4"/>
      <c r="F81" s="4"/>
      <c r="G81" s="4"/>
      <c r="H81" s="4"/>
    </row>
    <row r="82" spans="3:8" x14ac:dyDescent="0.25">
      <c r="C82" s="1"/>
      <c r="D82" s="4"/>
      <c r="E82" s="4"/>
      <c r="F82" s="4"/>
      <c r="G82" s="4"/>
      <c r="H82" s="4"/>
    </row>
    <row r="83" spans="3:8" x14ac:dyDescent="0.25">
      <c r="C83" s="1"/>
      <c r="D83" s="4"/>
      <c r="E83" s="4"/>
      <c r="F83" s="4"/>
      <c r="G83" s="4"/>
      <c r="H83" s="4"/>
    </row>
    <row r="84" spans="3:8" x14ac:dyDescent="0.25">
      <c r="C84" s="1"/>
      <c r="D84" s="4"/>
      <c r="E84" s="4"/>
      <c r="F84" s="4"/>
      <c r="G84" s="4"/>
      <c r="H84" s="4"/>
    </row>
    <row r="86" spans="3:8" ht="30" x14ac:dyDescent="0.25">
      <c r="C86" s="55" t="s">
        <v>158</v>
      </c>
      <c r="D86" s="8" t="s">
        <v>46</v>
      </c>
      <c r="E86" s="9" t="s">
        <v>133</v>
      </c>
      <c r="F86" s="9" t="s">
        <v>43</v>
      </c>
      <c r="G86" s="9" t="s">
        <v>44</v>
      </c>
      <c r="H86" s="10" t="s">
        <v>148</v>
      </c>
    </row>
    <row r="87" spans="3:8" x14ac:dyDescent="0.25">
      <c r="C87" s="11" t="s">
        <v>159</v>
      </c>
      <c r="D87" s="103">
        <f>D80</f>
        <v>55.799750890815815</v>
      </c>
      <c r="E87" s="103">
        <f>E80</f>
        <v>53.74689374795868</v>
      </c>
      <c r="F87" s="103">
        <f>F80</f>
        <v>71.567393747958675</v>
      </c>
      <c r="G87" s="103">
        <f>G80</f>
        <v>77.567393747958675</v>
      </c>
      <c r="H87" s="104">
        <f>H80</f>
        <v>61.487393747958677</v>
      </c>
    </row>
    <row r="88" spans="3:8" x14ac:dyDescent="0.25">
      <c r="C88" s="14" t="s">
        <v>160</v>
      </c>
      <c r="D88" s="15">
        <v>1.7</v>
      </c>
      <c r="E88" s="15">
        <v>2.2000000000000002</v>
      </c>
      <c r="F88" s="15">
        <v>1.7</v>
      </c>
      <c r="G88" s="15">
        <v>1.8</v>
      </c>
      <c r="H88" s="16">
        <v>2</v>
      </c>
    </row>
    <row r="89" spans="3:8" x14ac:dyDescent="0.25">
      <c r="C89" s="14" t="s">
        <v>40</v>
      </c>
      <c r="D89" s="103">
        <f>D87*D88</f>
        <v>94.859576514386887</v>
      </c>
      <c r="E89" s="103">
        <f t="shared" ref="E89:H89" si="5">E87*E88</f>
        <v>118.2431662455091</v>
      </c>
      <c r="F89" s="103">
        <f t="shared" si="5"/>
        <v>121.66456937152975</v>
      </c>
      <c r="G89" s="103">
        <f t="shared" si="5"/>
        <v>139.62130874632561</v>
      </c>
      <c r="H89" s="104">
        <f t="shared" si="5"/>
        <v>122.97478749591735</v>
      </c>
    </row>
    <row r="90" spans="3:8" x14ac:dyDescent="0.25">
      <c r="C90" s="23" t="s">
        <v>41</v>
      </c>
      <c r="D90" s="107">
        <f>D89*D88</f>
        <v>161.26128007445772</v>
      </c>
      <c r="E90" s="107">
        <f t="shared" ref="E90:H90" si="6">E89*E88</f>
        <v>260.13496574012004</v>
      </c>
      <c r="F90" s="107">
        <f t="shared" si="6"/>
        <v>206.82976793160057</v>
      </c>
      <c r="G90" s="107">
        <f t="shared" si="6"/>
        <v>251.31835574338609</v>
      </c>
      <c r="H90" s="108">
        <f t="shared" si="6"/>
        <v>245.94957499183471</v>
      </c>
    </row>
    <row r="96" spans="3:8" x14ac:dyDescent="0.25">
      <c r="C96" s="59" t="s">
        <v>8</v>
      </c>
    </row>
    <row r="97" spans="3:22" x14ac:dyDescent="0.25">
      <c r="C97" s="60"/>
    </row>
    <row r="98" spans="3:22" x14ac:dyDescent="0.25">
      <c r="C98" s="61" t="s">
        <v>49</v>
      </c>
    </row>
    <row r="99" spans="3:22" x14ac:dyDescent="0.25">
      <c r="C99" s="14" t="s">
        <v>161</v>
      </c>
      <c r="D99" s="113">
        <f>V52</f>
        <v>6565073.4027571427</v>
      </c>
    </row>
    <row r="100" spans="3:22" x14ac:dyDescent="0.25">
      <c r="C100" s="14" t="s">
        <v>51</v>
      </c>
      <c r="D100" s="13">
        <v>0.08</v>
      </c>
    </row>
    <row r="101" spans="3:22" x14ac:dyDescent="0.25">
      <c r="C101" s="14" t="s">
        <v>57</v>
      </c>
      <c r="D101" s="54">
        <v>18</v>
      </c>
    </row>
    <row r="102" spans="3:22" x14ac:dyDescent="0.25">
      <c r="C102" s="60"/>
    </row>
    <row r="103" spans="3:22" x14ac:dyDescent="0.25">
      <c r="C103" s="61" t="s">
        <v>52</v>
      </c>
    </row>
    <row r="104" spans="3:22" x14ac:dyDescent="0.25">
      <c r="C104" s="14" t="s">
        <v>53</v>
      </c>
      <c r="D104" s="8">
        <v>1</v>
      </c>
      <c r="E104" s="8">
        <v>2</v>
      </c>
      <c r="F104" s="8">
        <v>3</v>
      </c>
      <c r="G104" s="8">
        <v>4</v>
      </c>
      <c r="H104" s="8">
        <v>5</v>
      </c>
      <c r="I104" s="8">
        <v>6</v>
      </c>
      <c r="J104" s="8">
        <v>7</v>
      </c>
      <c r="K104" s="8">
        <v>8</v>
      </c>
      <c r="L104" s="8">
        <v>9</v>
      </c>
      <c r="M104" s="8">
        <v>10</v>
      </c>
      <c r="N104" s="8">
        <v>11</v>
      </c>
      <c r="O104" s="8">
        <v>12</v>
      </c>
      <c r="P104" s="8">
        <v>13</v>
      </c>
      <c r="Q104" s="8">
        <v>14</v>
      </c>
      <c r="R104" s="8">
        <v>15</v>
      </c>
      <c r="S104" s="8">
        <v>16</v>
      </c>
      <c r="T104" s="8">
        <v>17</v>
      </c>
      <c r="U104" s="22">
        <v>18</v>
      </c>
      <c r="V104" s="36"/>
    </row>
    <row r="105" spans="3:22" x14ac:dyDescent="0.25">
      <c r="C105" s="14" t="s">
        <v>162</v>
      </c>
      <c r="D105" s="63">
        <f>D99</f>
        <v>6565073.4027571427</v>
      </c>
      <c r="E105" s="63">
        <f>D105-D108</f>
        <v>6220580.1574903</v>
      </c>
      <c r="F105" s="63">
        <f t="shared" ref="F105:U105" si="7">E105-E108</f>
        <v>5873790.2905883454</v>
      </c>
      <c r="G105" s="63">
        <f t="shared" si="7"/>
        <v>5524688.4912403775</v>
      </c>
      <c r="H105" s="63">
        <f t="shared" si="7"/>
        <v>5173259.3465634231</v>
      </c>
      <c r="I105" s="63">
        <f t="shared" si="7"/>
        <v>4819487.3409219561</v>
      </c>
      <c r="J105" s="63">
        <f t="shared" si="7"/>
        <v>4463356.8552428791</v>
      </c>
      <c r="K105" s="63">
        <f t="shared" si="7"/>
        <v>4104852.1663259417</v>
      </c>
      <c r="L105" s="63">
        <f t="shared" si="7"/>
        <v>3743957.4461495578</v>
      </c>
      <c r="M105" s="63">
        <f t="shared" si="7"/>
        <v>3380656.7611719985</v>
      </c>
      <c r="N105" s="63">
        <f t="shared" si="7"/>
        <v>3014934.0716279219</v>
      </c>
      <c r="O105" s="63">
        <f t="shared" si="7"/>
        <v>2646773.2308202181</v>
      </c>
      <c r="P105" s="63">
        <f t="shared" si="7"/>
        <v>2276157.9844071297</v>
      </c>
      <c r="Q105" s="63">
        <f t="shared" si="7"/>
        <v>1903071.9696846206</v>
      </c>
      <c r="R105" s="63">
        <f t="shared" si="7"/>
        <v>1527498.7148639616</v>
      </c>
      <c r="S105" s="63">
        <f t="shared" si="7"/>
        <v>1149421.6383444981</v>
      </c>
      <c r="T105" s="63">
        <f t="shared" si="7"/>
        <v>768824.04798157152</v>
      </c>
      <c r="U105" s="64">
        <f t="shared" si="7"/>
        <v>385689.14034955873</v>
      </c>
      <c r="V105" s="36"/>
    </row>
    <row r="106" spans="3:22" x14ac:dyDescent="0.25">
      <c r="C106" s="14" t="s">
        <v>54</v>
      </c>
      <c r="D106" s="65">
        <f t="shared" ref="D106:U106" si="8">PMT($D$100/12,$D$101,-$D$99,0)</f>
        <v>388260.40128522326</v>
      </c>
      <c r="E106" s="65">
        <f t="shared" si="8"/>
        <v>388260.40128522326</v>
      </c>
      <c r="F106" s="65">
        <f t="shared" si="8"/>
        <v>388260.40128522326</v>
      </c>
      <c r="G106" s="65">
        <f t="shared" si="8"/>
        <v>388260.40128522326</v>
      </c>
      <c r="H106" s="65">
        <f t="shared" si="8"/>
        <v>388260.40128522326</v>
      </c>
      <c r="I106" s="65">
        <f t="shared" si="8"/>
        <v>388260.40128522326</v>
      </c>
      <c r="J106" s="65">
        <f t="shared" si="8"/>
        <v>388260.40128522326</v>
      </c>
      <c r="K106" s="65">
        <f t="shared" si="8"/>
        <v>388260.40128522326</v>
      </c>
      <c r="L106" s="65">
        <f t="shared" si="8"/>
        <v>388260.40128522326</v>
      </c>
      <c r="M106" s="65">
        <f t="shared" si="8"/>
        <v>388260.40128522326</v>
      </c>
      <c r="N106" s="65">
        <f t="shared" si="8"/>
        <v>388260.40128522326</v>
      </c>
      <c r="O106" s="65">
        <f t="shared" si="8"/>
        <v>388260.40128522326</v>
      </c>
      <c r="P106" s="65">
        <f t="shared" si="8"/>
        <v>388260.40128522326</v>
      </c>
      <c r="Q106" s="65">
        <f t="shared" si="8"/>
        <v>388260.40128522326</v>
      </c>
      <c r="R106" s="65">
        <f t="shared" si="8"/>
        <v>388260.40128522326</v>
      </c>
      <c r="S106" s="65">
        <f t="shared" si="8"/>
        <v>388260.40128522326</v>
      </c>
      <c r="T106" s="65">
        <f t="shared" si="8"/>
        <v>388260.40128522326</v>
      </c>
      <c r="U106" s="66">
        <f t="shared" si="8"/>
        <v>388260.40128522326</v>
      </c>
      <c r="V106" s="36"/>
    </row>
    <row r="107" spans="3:22" x14ac:dyDescent="0.25">
      <c r="C107" s="14" t="s">
        <v>55</v>
      </c>
      <c r="D107" s="63">
        <f t="shared" ref="D107:U107" si="9">($D$100/12)*D105</f>
        <v>43767.156018380956</v>
      </c>
      <c r="E107" s="63">
        <f t="shared" si="9"/>
        <v>41470.53438326867</v>
      </c>
      <c r="F107" s="63">
        <f t="shared" si="9"/>
        <v>39158.60193725564</v>
      </c>
      <c r="G107" s="63">
        <f t="shared" si="9"/>
        <v>36831.256608269185</v>
      </c>
      <c r="H107" s="63">
        <f t="shared" si="9"/>
        <v>34488.395643756157</v>
      </c>
      <c r="I107" s="63">
        <f t="shared" si="9"/>
        <v>32129.915606146376</v>
      </c>
      <c r="J107" s="63">
        <f t="shared" si="9"/>
        <v>29755.712368285862</v>
      </c>
      <c r="K107" s="63">
        <f t="shared" si="9"/>
        <v>27365.681108839613</v>
      </c>
      <c r="L107" s="63">
        <f t="shared" si="9"/>
        <v>24959.716307663719</v>
      </c>
      <c r="M107" s="63">
        <f t="shared" si="9"/>
        <v>22537.711741146657</v>
      </c>
      <c r="N107" s="63">
        <f t="shared" si="9"/>
        <v>20099.560477519481</v>
      </c>
      <c r="O107" s="63">
        <f t="shared" si="9"/>
        <v>17645.15487213479</v>
      </c>
      <c r="P107" s="63">
        <f t="shared" si="9"/>
        <v>15174.386562714199</v>
      </c>
      <c r="Q107" s="63">
        <f t="shared" si="9"/>
        <v>12687.146464564139</v>
      </c>
      <c r="R107" s="63">
        <f t="shared" si="9"/>
        <v>10183.324765759744</v>
      </c>
      <c r="S107" s="63">
        <f t="shared" si="9"/>
        <v>7662.810922296655</v>
      </c>
      <c r="T107" s="63">
        <f t="shared" si="9"/>
        <v>5125.4936532104775</v>
      </c>
      <c r="U107" s="64">
        <f t="shared" si="9"/>
        <v>2571.2609356637249</v>
      </c>
      <c r="V107" s="36"/>
    </row>
    <row r="108" spans="3:22" x14ac:dyDescent="0.25">
      <c r="C108" s="14" t="s">
        <v>56</v>
      </c>
      <c r="D108" s="67">
        <f>D106-D107</f>
        <v>344493.24526684231</v>
      </c>
      <c r="E108" s="67">
        <f>E106-E107</f>
        <v>346789.86690195458</v>
      </c>
      <c r="F108" s="67">
        <f t="shared" ref="F108:U108" si="10">F106-F107</f>
        <v>349101.79934796761</v>
      </c>
      <c r="G108" s="67">
        <f t="shared" si="10"/>
        <v>351429.14467695408</v>
      </c>
      <c r="H108" s="67">
        <f t="shared" si="10"/>
        <v>353772.00564146711</v>
      </c>
      <c r="I108" s="67">
        <f t="shared" si="10"/>
        <v>356130.48567907687</v>
      </c>
      <c r="J108" s="67">
        <f t="shared" si="10"/>
        <v>358504.68891693739</v>
      </c>
      <c r="K108" s="67">
        <f t="shared" si="10"/>
        <v>360894.72017638362</v>
      </c>
      <c r="L108" s="67">
        <f t="shared" si="10"/>
        <v>363300.68497755955</v>
      </c>
      <c r="M108" s="67">
        <f t="shared" si="10"/>
        <v>365722.68954407662</v>
      </c>
      <c r="N108" s="67">
        <f t="shared" si="10"/>
        <v>368160.84080770379</v>
      </c>
      <c r="O108" s="67">
        <f t="shared" si="10"/>
        <v>370615.24641308846</v>
      </c>
      <c r="P108" s="67">
        <f t="shared" si="10"/>
        <v>373086.01472250908</v>
      </c>
      <c r="Q108" s="67">
        <f t="shared" si="10"/>
        <v>375573.25482065912</v>
      </c>
      <c r="R108" s="67">
        <f t="shared" si="10"/>
        <v>378077.0765194635</v>
      </c>
      <c r="S108" s="67">
        <f t="shared" si="10"/>
        <v>380597.5903629266</v>
      </c>
      <c r="T108" s="67">
        <f t="shared" si="10"/>
        <v>383134.90763201279</v>
      </c>
      <c r="U108" s="68">
        <f t="shared" si="10"/>
        <v>385689.14034955954</v>
      </c>
      <c r="V108" s="36"/>
    </row>
    <row r="109" spans="3:22" x14ac:dyDescent="0.25">
      <c r="C109" s="60"/>
    </row>
    <row r="110" spans="3:22" x14ac:dyDescent="0.25">
      <c r="C110" s="60"/>
    </row>
    <row r="111" spans="3:22" x14ac:dyDescent="0.25">
      <c r="C111" s="62" t="s">
        <v>163</v>
      </c>
      <c r="D111" s="69">
        <f>D106*D101</f>
        <v>6988687.2231340185</v>
      </c>
    </row>
    <row r="134" spans="3:10" ht="45" x14ac:dyDescent="0.25">
      <c r="C134" s="70" t="s">
        <v>64</v>
      </c>
      <c r="D134" s="8" t="s">
        <v>10</v>
      </c>
      <c r="E134" s="9" t="s">
        <v>126</v>
      </c>
      <c r="F134" s="9" t="s">
        <v>66</v>
      </c>
      <c r="G134" s="8" t="s">
        <v>64</v>
      </c>
      <c r="H134" s="8" t="s">
        <v>164</v>
      </c>
      <c r="I134" s="10" t="s">
        <v>165</v>
      </c>
      <c r="J134" s="1"/>
    </row>
    <row r="135" spans="3:10" x14ac:dyDescent="0.25">
      <c r="C135" s="14" t="s">
        <v>9</v>
      </c>
      <c r="D135" s="103">
        <f>D51</f>
        <v>15000</v>
      </c>
      <c r="E135" s="103">
        <v>4000</v>
      </c>
      <c r="F135" s="15">
        <v>5</v>
      </c>
      <c r="G135" s="63">
        <f>SLN(D135,E135,F135)</f>
        <v>2200</v>
      </c>
      <c r="H135" s="15">
        <f>M51</f>
        <v>1</v>
      </c>
      <c r="I135" s="66">
        <f>H135*G135</f>
        <v>2200</v>
      </c>
    </row>
    <row r="136" spans="3:10" x14ac:dyDescent="0.25">
      <c r="C136" s="14" t="s">
        <v>67</v>
      </c>
      <c r="D136" s="103">
        <f>D52</f>
        <v>60000</v>
      </c>
      <c r="E136" s="103">
        <v>18000</v>
      </c>
      <c r="F136" s="15">
        <v>3</v>
      </c>
      <c r="G136" s="63">
        <f t="shared" ref="G136:G139" si="11">SLN(D136,E136,F136)</f>
        <v>14000</v>
      </c>
      <c r="H136" s="15">
        <f>M52</f>
        <v>1</v>
      </c>
      <c r="I136" s="66">
        <f t="shared" ref="I136:I138" si="12">H136*G136</f>
        <v>14000</v>
      </c>
    </row>
    <row r="137" spans="3:10" x14ac:dyDescent="0.25">
      <c r="C137" s="14" t="s">
        <v>138</v>
      </c>
      <c r="D137" s="103">
        <f>D53</f>
        <v>12000</v>
      </c>
      <c r="E137" s="103">
        <v>3000</v>
      </c>
      <c r="F137" s="15">
        <v>3</v>
      </c>
      <c r="G137" s="63">
        <f t="shared" si="11"/>
        <v>3000</v>
      </c>
      <c r="H137" s="15">
        <f>M53</f>
        <v>1</v>
      </c>
      <c r="I137" s="66">
        <f t="shared" si="12"/>
        <v>3000</v>
      </c>
    </row>
    <row r="138" spans="3:10" x14ac:dyDescent="0.25">
      <c r="C138" s="14" t="s">
        <v>166</v>
      </c>
      <c r="D138" s="103">
        <f>D55</f>
        <v>60000</v>
      </c>
      <c r="E138" s="103">
        <v>7000</v>
      </c>
      <c r="F138" s="15">
        <v>5</v>
      </c>
      <c r="G138" s="63">
        <f t="shared" si="11"/>
        <v>10600</v>
      </c>
      <c r="H138" s="15">
        <f>M55</f>
        <v>3</v>
      </c>
      <c r="I138" s="66">
        <f t="shared" si="12"/>
        <v>31800</v>
      </c>
    </row>
    <row r="139" spans="3:10" x14ac:dyDescent="0.25">
      <c r="C139" s="14" t="s">
        <v>125</v>
      </c>
      <c r="D139" s="103">
        <f>D54</f>
        <v>175000</v>
      </c>
      <c r="E139" s="114">
        <v>55000</v>
      </c>
      <c r="F139" s="24">
        <v>3</v>
      </c>
      <c r="G139" s="67">
        <f t="shared" si="11"/>
        <v>40000</v>
      </c>
      <c r="H139" s="24">
        <v>1</v>
      </c>
      <c r="I139" s="71">
        <f>G139*H139</f>
        <v>40000</v>
      </c>
    </row>
    <row r="140" spans="3:10" ht="30" x14ac:dyDescent="0.25">
      <c r="C140" s="21" t="s">
        <v>167</v>
      </c>
      <c r="D140" s="71">
        <f>SUM(I135:I139)</f>
        <v>91000</v>
      </c>
    </row>
    <row r="146" spans="3:3" x14ac:dyDescent="0.25">
      <c r="C146" t="s">
        <v>168</v>
      </c>
    </row>
    <row r="164" spans="1:9" x14ac:dyDescent="0.25">
      <c r="C164" s="39"/>
    </row>
    <row r="165" spans="1:9" x14ac:dyDescent="0.25">
      <c r="C165" s="6"/>
      <c r="E165" s="1"/>
      <c r="G165" s="1"/>
      <c r="H165" s="1"/>
    </row>
    <row r="166" spans="1:9" x14ac:dyDescent="0.25">
      <c r="D166" s="2"/>
      <c r="E166" s="2"/>
      <c r="F166" s="2"/>
      <c r="G166" s="2"/>
      <c r="H166" s="2"/>
      <c r="I166" s="2"/>
    </row>
    <row r="167" spans="1:9" x14ac:dyDescent="0.25">
      <c r="A167" s="28"/>
    </row>
    <row r="168" spans="1:9" x14ac:dyDescent="0.25">
      <c r="A168" s="28"/>
      <c r="D168" s="4"/>
      <c r="E168" s="4"/>
      <c r="F168" s="4"/>
      <c r="G168" s="4"/>
      <c r="H168" s="4"/>
    </row>
    <row r="174" spans="1:9" x14ac:dyDescent="0.25">
      <c r="C174" s="39"/>
    </row>
    <row r="175" spans="1:9" x14ac:dyDescent="0.25">
      <c r="C175" s="39"/>
    </row>
    <row r="186" spans="3:11" x14ac:dyDescent="0.25">
      <c r="C186" s="35" t="s">
        <v>169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t="s">
        <v>24</v>
      </c>
    </row>
    <row r="187" spans="3:11" x14ac:dyDescent="0.25">
      <c r="C187" s="6" t="s">
        <v>170</v>
      </c>
      <c r="D187" s="109">
        <f>D99</f>
        <v>6565073.4027571427</v>
      </c>
      <c r="E187" s="109">
        <f t="shared" ref="E187:K187" si="13">D201</f>
        <v>5973478.6559345834</v>
      </c>
      <c r="F187" s="109">
        <f t="shared" si="13"/>
        <v>6267218.6853972469</v>
      </c>
      <c r="G187" s="109">
        <f t="shared" si="13"/>
        <v>10974280.158402111</v>
      </c>
      <c r="H187" s="109">
        <f t="shared" si="13"/>
        <v>15681341.631406978</v>
      </c>
      <c r="I187" s="109">
        <f t="shared" si="13"/>
        <v>20388403.104411844</v>
      </c>
      <c r="J187" s="109">
        <f t="shared" si="13"/>
        <v>25095464.577416711</v>
      </c>
      <c r="K187" s="109">
        <f t="shared" si="13"/>
        <v>25389204.606879376</v>
      </c>
    </row>
    <row r="188" spans="3:11" x14ac:dyDescent="0.25">
      <c r="C188" s="123" t="s">
        <v>83</v>
      </c>
      <c r="D188" s="123"/>
      <c r="E188" s="123"/>
      <c r="F188" s="123"/>
      <c r="G188" s="123"/>
      <c r="H188" s="123"/>
      <c r="I188" s="123"/>
      <c r="J188" s="123"/>
      <c r="K188" s="123"/>
    </row>
    <row r="189" spans="3:11" x14ac:dyDescent="0.25">
      <c r="C189" t="s">
        <v>75</v>
      </c>
      <c r="D189" s="109">
        <f>$D$90*($F$38*$D$11)</f>
        <v>110205.95880288442</v>
      </c>
      <c r="E189" s="109">
        <f>$D$90*($F$38*$D$11)</f>
        <v>110205.95880288442</v>
      </c>
      <c r="F189" s="109">
        <f>$D$90*($H$38*$D$11)</f>
        <v>1766004.5303514015</v>
      </c>
      <c r="G189" s="109">
        <f>$D$90*($H$38*$D$11)</f>
        <v>1766004.5303514015</v>
      </c>
      <c r="H189" s="109">
        <f>$D$90*($H$38*$D$11)</f>
        <v>1766004.5303514015</v>
      </c>
      <c r="I189" s="109">
        <f>$D$90*($H$38*$D$11)</f>
        <v>1766004.5303514015</v>
      </c>
      <c r="J189" s="109">
        <f>$D$90*($F$38*$D$11)</f>
        <v>110205.95880288442</v>
      </c>
      <c r="K189" s="109">
        <f>$D$90*($F$38*$D$11)</f>
        <v>110205.95880288442</v>
      </c>
    </row>
    <row r="190" spans="3:11" x14ac:dyDescent="0.25">
      <c r="C190" t="s">
        <v>171</v>
      </c>
      <c r="D190" s="109">
        <f>$E$90*$F$38*$E$11</f>
        <v>133332.17669009851</v>
      </c>
      <c r="E190" s="109">
        <f>$E$90*$F$38*$E$11</f>
        <v>133332.17669009851</v>
      </c>
      <c r="F190" s="109">
        <f>$E$90*($H$38*$E$11)</f>
        <v>2136592.527609902</v>
      </c>
      <c r="G190" s="109">
        <f>$E$90*($H$38*$E$11)</f>
        <v>2136592.527609902</v>
      </c>
      <c r="H190" s="109">
        <f>$E$90*($H$38*$E$11)</f>
        <v>2136592.527609902</v>
      </c>
      <c r="I190" s="109">
        <f>$E$90*($H$38*$E$11)</f>
        <v>2136592.527609902</v>
      </c>
      <c r="J190" s="109">
        <f>$E$90*$F$38*$E$11</f>
        <v>133332.17669009851</v>
      </c>
      <c r="K190" s="109">
        <f>$E$90*$F$38*$E$11</f>
        <v>133332.17669009851</v>
      </c>
    </row>
    <row r="191" spans="3:11" x14ac:dyDescent="0.25">
      <c r="C191" t="s">
        <v>76</v>
      </c>
      <c r="D191" s="109">
        <f>$F$90*($F$38*$F$11)</f>
        <v>17668.432925556983</v>
      </c>
      <c r="E191" s="109">
        <f>$F$90*($F$38*$F$11)</f>
        <v>17668.432925556983</v>
      </c>
      <c r="F191" s="109">
        <f>$F$90*($H$38*$F$11)</f>
        <v>283129.26932156802</v>
      </c>
      <c r="G191" s="109">
        <f>$F$90*($H$38*$F$11)</f>
        <v>283129.26932156802</v>
      </c>
      <c r="H191" s="109">
        <f>$F$90*($H$38*$F$11)</f>
        <v>283129.26932156802</v>
      </c>
      <c r="I191" s="109">
        <f>$F$90*($H$38*$F$11)</f>
        <v>283129.26932156802</v>
      </c>
      <c r="J191" s="109">
        <f>$F$90*($F$38*$F$11)</f>
        <v>17668.432925556983</v>
      </c>
      <c r="K191" s="109">
        <f>$F$90*($F$38*$F$11)</f>
        <v>17668.432925556983</v>
      </c>
    </row>
    <row r="192" spans="3:11" x14ac:dyDescent="0.25">
      <c r="C192" t="s">
        <v>77</v>
      </c>
      <c r="D192" s="109">
        <f>$G$90*($F$38*$G$11)</f>
        <v>42937.741078757521</v>
      </c>
      <c r="E192" s="109">
        <f>$G$90*($F$38*$G$11)</f>
        <v>42937.741078757521</v>
      </c>
      <c r="F192" s="109">
        <f>$G$90*($H$38*$G$11)</f>
        <v>688059.39435424248</v>
      </c>
      <c r="G192" s="109">
        <f>$G$90*($H$38*$G$11)</f>
        <v>688059.39435424248</v>
      </c>
      <c r="H192" s="109">
        <f>$G$90*($H$38*$G$11)</f>
        <v>688059.39435424248</v>
      </c>
      <c r="I192" s="109">
        <f>$G$90*($H$38*$G$11)</f>
        <v>688059.39435424248</v>
      </c>
      <c r="J192" s="109">
        <f>$G$90*($F$38*$G$11)</f>
        <v>42937.741078757521</v>
      </c>
      <c r="K192" s="109">
        <f>$G$90*($F$38*$G$11)</f>
        <v>42937.741078757521</v>
      </c>
    </row>
    <row r="193" spans="1:12" x14ac:dyDescent="0.25">
      <c r="C193" t="s">
        <v>172</v>
      </c>
      <c r="D193" s="109">
        <f>$H$90*($F$38*$H$11)</f>
        <v>63030.727331032431</v>
      </c>
      <c r="E193" s="109">
        <f>$H$90*($F$38*$H$11)</f>
        <v>63030.727331032431</v>
      </c>
      <c r="F193" s="109">
        <f>$H$90*($H$38*$H$11)</f>
        <v>1010041.1196189675</v>
      </c>
      <c r="G193" s="109">
        <f>$H$90*($H$38*$H$11)</f>
        <v>1010041.1196189675</v>
      </c>
      <c r="H193" s="109">
        <f>$H$90*($H$38*$H$11)</f>
        <v>1010041.1196189675</v>
      </c>
      <c r="I193" s="109">
        <f>$H$90*($H$38*$H$11)</f>
        <v>1010041.1196189675</v>
      </c>
      <c r="J193" s="109">
        <f>$H$90*($F$38*$H$11)</f>
        <v>63030.727331032431</v>
      </c>
      <c r="K193" s="109">
        <f>$H$90*($F$38*$H$11)</f>
        <v>63030.727331032431</v>
      </c>
    </row>
    <row r="194" spans="1:12" x14ac:dyDescent="0.25">
      <c r="C194" s="6" t="s">
        <v>74</v>
      </c>
      <c r="D194" s="115">
        <f t="shared" ref="D194:K194" si="14">SUM(D189:D193)</f>
        <v>367175.0368283299</v>
      </c>
      <c r="E194" s="115">
        <f t="shared" si="14"/>
        <v>367175.0368283299</v>
      </c>
      <c r="F194" s="115">
        <f t="shared" si="14"/>
        <v>5883826.8412560811</v>
      </c>
      <c r="G194" s="115">
        <f t="shared" si="14"/>
        <v>5883826.8412560811</v>
      </c>
      <c r="H194" s="115">
        <f t="shared" si="14"/>
        <v>5883826.8412560811</v>
      </c>
      <c r="I194" s="115">
        <f t="shared" si="14"/>
        <v>5883826.8412560811</v>
      </c>
      <c r="J194" s="115">
        <f t="shared" si="14"/>
        <v>367175.0368283299</v>
      </c>
      <c r="K194" s="115">
        <f t="shared" si="14"/>
        <v>367175.0368283299</v>
      </c>
      <c r="L194" s="40"/>
    </row>
    <row r="195" spans="1:12" x14ac:dyDescent="0.25">
      <c r="C195" s="123" t="s">
        <v>84</v>
      </c>
      <c r="D195" s="123"/>
      <c r="E195" s="123"/>
      <c r="F195" s="123"/>
      <c r="G195" s="123"/>
      <c r="H195" s="123"/>
      <c r="I195" s="123"/>
      <c r="J195" s="123"/>
      <c r="K195" s="123"/>
    </row>
    <row r="196" spans="1:12" x14ac:dyDescent="0.25">
      <c r="C196" t="s">
        <v>80</v>
      </c>
      <c r="D196" s="109">
        <f>$D$67/$O$56</f>
        <v>485699.375</v>
      </c>
      <c r="E196" s="109">
        <f t="shared" ref="E196:K196" si="15">$D$67/$O$56</f>
        <v>485699.375</v>
      </c>
      <c r="F196" s="109">
        <f t="shared" si="15"/>
        <v>485699.375</v>
      </c>
      <c r="G196" s="109">
        <f t="shared" si="15"/>
        <v>485699.375</v>
      </c>
      <c r="H196" s="109">
        <f t="shared" si="15"/>
        <v>485699.375</v>
      </c>
      <c r="I196" s="109">
        <f t="shared" si="15"/>
        <v>485699.375</v>
      </c>
      <c r="J196" s="109">
        <f t="shared" si="15"/>
        <v>485699.375</v>
      </c>
      <c r="K196" s="109">
        <f t="shared" si="15"/>
        <v>485699.375</v>
      </c>
    </row>
    <row r="197" spans="1:12" x14ac:dyDescent="0.25">
      <c r="C197" t="s">
        <v>78</v>
      </c>
      <c r="D197" s="109">
        <f>$D$140/8</f>
        <v>11375</v>
      </c>
      <c r="E197" s="109">
        <f t="shared" ref="E197:K197" si="16">$D$140/8</f>
        <v>11375</v>
      </c>
      <c r="F197" s="109">
        <f t="shared" si="16"/>
        <v>11375</v>
      </c>
      <c r="G197" s="109">
        <f t="shared" si="16"/>
        <v>11375</v>
      </c>
      <c r="H197" s="109">
        <f t="shared" si="16"/>
        <v>11375</v>
      </c>
      <c r="I197" s="109">
        <f t="shared" si="16"/>
        <v>11375</v>
      </c>
      <c r="J197" s="109">
        <f t="shared" si="16"/>
        <v>11375</v>
      </c>
      <c r="K197" s="109">
        <f t="shared" si="16"/>
        <v>11375</v>
      </c>
    </row>
    <row r="198" spans="1:12" x14ac:dyDescent="0.25">
      <c r="A198" s="41"/>
      <c r="C198" t="s">
        <v>79</v>
      </c>
      <c r="D198" s="109">
        <f>$D$106</f>
        <v>388260.40128522326</v>
      </c>
      <c r="E198" s="109">
        <f t="shared" ref="E198:K198" si="17">$D$106</f>
        <v>388260.40128522326</v>
      </c>
      <c r="F198" s="109">
        <f t="shared" si="17"/>
        <v>388260.40128522326</v>
      </c>
      <c r="G198" s="109">
        <f t="shared" si="17"/>
        <v>388260.40128522326</v>
      </c>
      <c r="H198" s="109">
        <f t="shared" si="17"/>
        <v>388260.40128522326</v>
      </c>
      <c r="I198" s="109">
        <f t="shared" si="17"/>
        <v>388260.40128522326</v>
      </c>
      <c r="J198" s="109">
        <f t="shared" si="17"/>
        <v>388260.40128522326</v>
      </c>
      <c r="K198" s="109">
        <f t="shared" si="17"/>
        <v>388260.40128522326</v>
      </c>
    </row>
    <row r="199" spans="1:12" x14ac:dyDescent="0.25">
      <c r="B199" s="2">
        <v>0.2</v>
      </c>
      <c r="C199" s="5" t="s">
        <v>232</v>
      </c>
      <c r="D199" s="115">
        <f>D194*$B$199</f>
        <v>73435.007365665981</v>
      </c>
      <c r="E199" s="115">
        <f t="shared" ref="E199:K199" si="18">E194*$B$199</f>
        <v>73435.007365665981</v>
      </c>
      <c r="F199" s="115">
        <f t="shared" si="18"/>
        <v>1176765.3682512164</v>
      </c>
      <c r="G199" s="115">
        <f t="shared" si="18"/>
        <v>1176765.3682512164</v>
      </c>
      <c r="H199" s="115">
        <f t="shared" si="18"/>
        <v>1176765.3682512164</v>
      </c>
      <c r="I199" s="115">
        <f t="shared" si="18"/>
        <v>1176765.3682512164</v>
      </c>
      <c r="J199" s="115">
        <f t="shared" si="18"/>
        <v>73435.007365665981</v>
      </c>
      <c r="K199" s="115">
        <f t="shared" si="18"/>
        <v>73435.007365665981</v>
      </c>
    </row>
    <row r="200" spans="1:12" x14ac:dyDescent="0.25">
      <c r="C200" s="6" t="s">
        <v>81</v>
      </c>
      <c r="D200" s="115">
        <f>SUM($D$196:$D$199)</f>
        <v>958769.78365088918</v>
      </c>
      <c r="E200" s="115">
        <f>SUM($D$196:$D$199)</f>
        <v>958769.78365088918</v>
      </c>
      <c r="F200" s="115">
        <f t="shared" ref="F200:K200" si="19">SUM($D$196:$D$199)</f>
        <v>958769.78365088918</v>
      </c>
      <c r="G200" s="115">
        <f t="shared" si="19"/>
        <v>958769.78365088918</v>
      </c>
      <c r="H200" s="115">
        <f t="shared" si="19"/>
        <v>958769.78365088918</v>
      </c>
      <c r="I200" s="115">
        <f t="shared" si="19"/>
        <v>958769.78365088918</v>
      </c>
      <c r="J200" s="115">
        <f t="shared" si="19"/>
        <v>958769.78365088918</v>
      </c>
      <c r="K200" s="115">
        <f t="shared" si="19"/>
        <v>958769.78365088918</v>
      </c>
    </row>
    <row r="201" spans="1:12" x14ac:dyDescent="0.25">
      <c r="C201" s="31" t="s">
        <v>82</v>
      </c>
      <c r="D201" s="109">
        <f>D187+D194-D200</f>
        <v>5973478.6559345834</v>
      </c>
      <c r="E201" s="109">
        <f t="shared" ref="E201:K201" si="20">E187+E194-E199</f>
        <v>6267218.6853972469</v>
      </c>
      <c r="F201" s="109">
        <f t="shared" si="20"/>
        <v>10974280.158402111</v>
      </c>
      <c r="G201" s="109">
        <f t="shared" si="20"/>
        <v>15681341.631406978</v>
      </c>
      <c r="H201" s="109">
        <f t="shared" si="20"/>
        <v>20388403.104411844</v>
      </c>
      <c r="I201" s="109">
        <f t="shared" si="20"/>
        <v>25095464.577416711</v>
      </c>
      <c r="J201" s="109">
        <f t="shared" si="20"/>
        <v>25389204.606879376</v>
      </c>
      <c r="K201" s="109">
        <f t="shared" si="20"/>
        <v>25682944.636342041</v>
      </c>
    </row>
    <row r="218" spans="2:11" x14ac:dyDescent="0.25">
      <c r="C218" s="34" t="s">
        <v>173</v>
      </c>
      <c r="D218" s="8"/>
      <c r="E218" s="8"/>
      <c r="F218" s="8"/>
      <c r="G218" s="8"/>
      <c r="H218" s="8"/>
      <c r="I218" s="8"/>
      <c r="J218" s="8"/>
      <c r="K218" s="22"/>
    </row>
    <row r="219" spans="2:11" x14ac:dyDescent="0.25">
      <c r="C219" s="14" t="s">
        <v>53</v>
      </c>
      <c r="D219" s="15" t="s">
        <v>17</v>
      </c>
      <c r="E219" s="15" t="s">
        <v>18</v>
      </c>
      <c r="F219" s="15" t="s">
        <v>19</v>
      </c>
      <c r="G219" s="15" t="s">
        <v>20</v>
      </c>
      <c r="H219" s="15" t="s">
        <v>21</v>
      </c>
      <c r="I219" s="15" t="s">
        <v>22</v>
      </c>
      <c r="J219" s="15" t="s">
        <v>23</v>
      </c>
      <c r="K219" s="16" t="s">
        <v>24</v>
      </c>
    </row>
    <row r="220" spans="2:11" x14ac:dyDescent="0.25">
      <c r="C220" s="14" t="s">
        <v>174</v>
      </c>
      <c r="D220" s="15">
        <v>0</v>
      </c>
      <c r="E220" s="15">
        <v>1</v>
      </c>
      <c r="F220" s="15">
        <v>2</v>
      </c>
      <c r="G220" s="15">
        <v>3</v>
      </c>
      <c r="H220" s="15">
        <v>4</v>
      </c>
      <c r="I220" s="15">
        <v>5</v>
      </c>
      <c r="J220" s="15">
        <v>6</v>
      </c>
      <c r="K220" s="16">
        <v>7</v>
      </c>
    </row>
    <row r="221" spans="2:11" x14ac:dyDescent="0.25">
      <c r="C221" s="14" t="s">
        <v>69</v>
      </c>
      <c r="D221" s="75">
        <f>-D201/D187</f>
        <v>-0.90988756552605998</v>
      </c>
      <c r="E221" s="75">
        <f>-E201/E187</f>
        <v>-1.0491740318132443</v>
      </c>
      <c r="F221" s="75">
        <f>F201/F187</f>
        <v>1.7510606712946555</v>
      </c>
      <c r="G221" s="75">
        <f>G201/G187</f>
        <v>1.4289175604288773</v>
      </c>
      <c r="H221" s="75">
        <f>H201/H187</f>
        <v>1.3001695635262132</v>
      </c>
      <c r="I221" s="75">
        <f>I201/I187</f>
        <v>1.2308695511315599</v>
      </c>
      <c r="J221" s="75">
        <f>J201/J187</f>
        <v>1.0117049050260261</v>
      </c>
      <c r="K221" s="74">
        <f>-K201/K187</f>
        <v>-1.0115694852993966</v>
      </c>
    </row>
    <row r="222" spans="2:11" x14ac:dyDescent="0.25">
      <c r="B222" s="2">
        <v>0.1</v>
      </c>
      <c r="C222" s="14" t="s">
        <v>70</v>
      </c>
      <c r="D222" s="75">
        <f t="shared" ref="D222:K222" si="21">1/(1+$B$222)^D220</f>
        <v>1</v>
      </c>
      <c r="E222" s="75">
        <f t="shared" si="21"/>
        <v>0.90909090909090906</v>
      </c>
      <c r="F222" s="75">
        <f t="shared" si="21"/>
        <v>0.82644628099173545</v>
      </c>
      <c r="G222" s="75">
        <f t="shared" si="21"/>
        <v>0.75131480090157754</v>
      </c>
      <c r="H222" s="75">
        <f t="shared" si="21"/>
        <v>0.68301345536507052</v>
      </c>
      <c r="I222" s="75">
        <f t="shared" si="21"/>
        <v>0.62092132305915493</v>
      </c>
      <c r="J222" s="75">
        <f t="shared" si="21"/>
        <v>0.56447393005377722</v>
      </c>
      <c r="K222" s="74">
        <f t="shared" si="21"/>
        <v>0.51315811823070645</v>
      </c>
    </row>
    <row r="223" spans="2:11" x14ac:dyDescent="0.25">
      <c r="C223" s="14" t="s">
        <v>175</v>
      </c>
      <c r="D223" s="75">
        <f>D221*D222</f>
        <v>-0.90988756552605998</v>
      </c>
      <c r="E223" s="100">
        <f t="shared" ref="E223:K223" si="22">E221*E222</f>
        <v>-0.95379457437567661</v>
      </c>
      <c r="F223" s="100">
        <f t="shared" si="22"/>
        <v>1.4471575795823597</v>
      </c>
      <c r="G223" s="100">
        <f t="shared" si="22"/>
        <v>1.0735669124183898</v>
      </c>
      <c r="H223" s="100">
        <f t="shared" si="22"/>
        <v>0.88803330614453446</v>
      </c>
      <c r="I223" s="100">
        <f t="shared" si="22"/>
        <v>0.76427315020183639</v>
      </c>
      <c r="J223" s="100">
        <f t="shared" si="22"/>
        <v>0.57108104379472435</v>
      </c>
      <c r="K223" s="101">
        <f t="shared" si="22"/>
        <v>-0.5190950935358426</v>
      </c>
    </row>
    <row r="224" spans="2:11" x14ac:dyDescent="0.25">
      <c r="C224" s="14"/>
      <c r="D224" s="16"/>
    </row>
    <row r="225" spans="3:4" x14ac:dyDescent="0.25">
      <c r="C225" s="14"/>
      <c r="D225" s="16"/>
    </row>
    <row r="226" spans="3:4" x14ac:dyDescent="0.25">
      <c r="C226" s="14"/>
      <c r="D226" s="16"/>
    </row>
    <row r="227" spans="3:4" x14ac:dyDescent="0.25">
      <c r="C227" s="14" t="s">
        <v>176</v>
      </c>
      <c r="D227" s="16" t="s">
        <v>71</v>
      </c>
    </row>
    <row r="228" spans="3:4" x14ac:dyDescent="0.25">
      <c r="C228" s="14" t="s">
        <v>177</v>
      </c>
      <c r="D228" s="74">
        <f>SUM(D223:K223)</f>
        <v>2.361334758704265</v>
      </c>
    </row>
    <row r="229" spans="3:4" x14ac:dyDescent="0.25">
      <c r="C229" s="23" t="s">
        <v>73</v>
      </c>
      <c r="D229" s="51">
        <f>IRR(D221:K221)</f>
        <v>0.51535004226573689</v>
      </c>
    </row>
    <row r="231" spans="3:4" x14ac:dyDescent="0.25">
      <c r="C231" s="39"/>
    </row>
    <row r="249" spans="3:4" x14ac:dyDescent="0.25">
      <c r="C249" s="34" t="s">
        <v>85</v>
      </c>
      <c r="D249" s="22"/>
    </row>
    <row r="250" spans="3:4" x14ac:dyDescent="0.25">
      <c r="C250" s="76" t="s">
        <v>86</v>
      </c>
      <c r="D250" s="16"/>
    </row>
    <row r="251" spans="3:4" x14ac:dyDescent="0.25">
      <c r="C251" s="77" t="s">
        <v>90</v>
      </c>
      <c r="D251" s="104">
        <f>SUM(D194:K194)</f>
        <v>25004007.512337647</v>
      </c>
    </row>
    <row r="252" spans="3:4" x14ac:dyDescent="0.25">
      <c r="C252" s="77" t="s">
        <v>178</v>
      </c>
      <c r="D252" s="104">
        <v>0</v>
      </c>
    </row>
    <row r="253" spans="3:4" x14ac:dyDescent="0.25">
      <c r="C253" s="77" t="s">
        <v>87</v>
      </c>
      <c r="D253" s="104">
        <f>D75*D76+E75*E76+F75*F76+G75*G76+H75*H76</f>
        <v>3851668.4027571436</v>
      </c>
    </row>
    <row r="254" spans="3:4" x14ac:dyDescent="0.25">
      <c r="C254" s="78" t="s">
        <v>91</v>
      </c>
      <c r="D254" s="104">
        <f>SUM(D251:D253)</f>
        <v>28855675.915094793</v>
      </c>
    </row>
    <row r="255" spans="3:4" x14ac:dyDescent="0.25">
      <c r="C255" s="77" t="s">
        <v>179</v>
      </c>
      <c r="D255" s="104">
        <f>SUM(N51:N56)</f>
        <v>474000</v>
      </c>
    </row>
    <row r="256" spans="3:4" x14ac:dyDescent="0.25">
      <c r="C256" s="78" t="s">
        <v>92</v>
      </c>
      <c r="D256" s="104">
        <f>D255</f>
        <v>474000</v>
      </c>
    </row>
    <row r="257" spans="3:4" x14ac:dyDescent="0.25">
      <c r="C257" s="78" t="s">
        <v>93</v>
      </c>
      <c r="D257" s="116">
        <f>D254+D256</f>
        <v>29329675.915094793</v>
      </c>
    </row>
    <row r="258" spans="3:4" x14ac:dyDescent="0.25">
      <c r="C258" s="78"/>
      <c r="D258" s="104"/>
    </row>
    <row r="259" spans="3:4" x14ac:dyDescent="0.25">
      <c r="C259" s="76" t="s">
        <v>88</v>
      </c>
      <c r="D259" s="104"/>
    </row>
    <row r="260" spans="3:4" x14ac:dyDescent="0.25">
      <c r="C260" s="77" t="s">
        <v>94</v>
      </c>
      <c r="D260" s="104">
        <f>SUM(N58:N62)</f>
        <v>2448000</v>
      </c>
    </row>
    <row r="261" spans="3:4" x14ac:dyDescent="0.25">
      <c r="C261" s="77" t="s">
        <v>180</v>
      </c>
      <c r="D261" s="104">
        <f>SUM(D106:O106)</f>
        <v>4659124.8154226793</v>
      </c>
    </row>
    <row r="262" spans="3:4" x14ac:dyDescent="0.25">
      <c r="C262" s="78" t="s">
        <v>181</v>
      </c>
      <c r="D262" s="104">
        <f>SUM(D260:D261)</f>
        <v>7107124.8154226793</v>
      </c>
    </row>
    <row r="263" spans="3:4" x14ac:dyDescent="0.25">
      <c r="C263" s="78" t="s">
        <v>182</v>
      </c>
      <c r="D263" s="104">
        <f>SUM(P106:U106)</f>
        <v>2329562.4077113396</v>
      </c>
    </row>
    <row r="264" spans="3:4" x14ac:dyDescent="0.25">
      <c r="C264" s="78" t="s">
        <v>89</v>
      </c>
      <c r="D264" s="104">
        <f>D257-(D262+D263)</f>
        <v>19892988.691960774</v>
      </c>
    </row>
    <row r="265" spans="3:4" x14ac:dyDescent="0.25">
      <c r="C265" s="78" t="s">
        <v>183</v>
      </c>
      <c r="D265" s="116">
        <f>SUM(D262:D264)</f>
        <v>29329675.915094793</v>
      </c>
    </row>
    <row r="266" spans="3:4" x14ac:dyDescent="0.25">
      <c r="C266" s="78"/>
      <c r="D266" s="16"/>
    </row>
    <row r="267" spans="3:4" x14ac:dyDescent="0.25">
      <c r="C267" s="78"/>
      <c r="D267" s="64"/>
    </row>
    <row r="268" spans="3:4" x14ac:dyDescent="0.25">
      <c r="C268" s="78"/>
      <c r="D268" s="16"/>
    </row>
    <row r="269" spans="3:4" x14ac:dyDescent="0.25">
      <c r="C269" s="78"/>
      <c r="D269" s="16"/>
    </row>
    <row r="270" spans="3:4" x14ac:dyDescent="0.25">
      <c r="C270" s="78"/>
      <c r="D270" s="16"/>
    </row>
    <row r="271" spans="3:4" x14ac:dyDescent="0.25">
      <c r="C271" s="78"/>
      <c r="D271" s="16"/>
    </row>
    <row r="272" spans="3:4" x14ac:dyDescent="0.25">
      <c r="C272" s="78"/>
      <c r="D272" s="16"/>
    </row>
    <row r="273" spans="3:19" x14ac:dyDescent="0.25">
      <c r="C273" s="78"/>
      <c r="D273" s="16"/>
    </row>
    <row r="274" spans="3:19" x14ac:dyDescent="0.25">
      <c r="C274" s="78"/>
      <c r="D274" s="16"/>
    </row>
    <row r="275" spans="3:19" x14ac:dyDescent="0.25">
      <c r="C275" s="79"/>
      <c r="D275" s="16"/>
    </row>
    <row r="276" spans="3:19" x14ac:dyDescent="0.25">
      <c r="C276" s="80" t="s">
        <v>95</v>
      </c>
      <c r="D276" s="81">
        <v>0.6</v>
      </c>
    </row>
    <row r="283" spans="3:19" x14ac:dyDescent="0.25">
      <c r="C283" s="35" t="s">
        <v>184</v>
      </c>
    </row>
    <row r="284" spans="3:19" x14ac:dyDescent="0.25">
      <c r="J284" s="1"/>
    </row>
    <row r="285" spans="3:19" ht="30" x14ac:dyDescent="0.25">
      <c r="C285" s="70" t="s">
        <v>185</v>
      </c>
      <c r="D285" s="22"/>
      <c r="F285" s="84" t="s">
        <v>187</v>
      </c>
      <c r="G285" s="22"/>
      <c r="J285" s="84" t="s">
        <v>191</v>
      </c>
      <c r="K285" s="22"/>
      <c r="N285" s="84" t="s">
        <v>194</v>
      </c>
      <c r="O285" s="22"/>
      <c r="R285" s="84" t="s">
        <v>198</v>
      </c>
      <c r="S285" s="22"/>
    </row>
    <row r="286" spans="3:19" ht="30" x14ac:dyDescent="0.25">
      <c r="C286" s="14" t="s">
        <v>107</v>
      </c>
      <c r="D286" s="104">
        <f>D254</f>
        <v>28855675.915094793</v>
      </c>
      <c r="F286" s="14" t="s">
        <v>188</v>
      </c>
      <c r="G286" s="13">
        <f>D276</f>
        <v>0.6</v>
      </c>
      <c r="J286" s="14" t="s">
        <v>106</v>
      </c>
      <c r="K286" s="104">
        <f>SUM(D194:K194)</f>
        <v>25004007.512337647</v>
      </c>
      <c r="N286" s="85" t="s">
        <v>195</v>
      </c>
      <c r="O286" s="64">
        <f>D264</f>
        <v>19892988.691960774</v>
      </c>
      <c r="R286" s="86" t="s">
        <v>112</v>
      </c>
      <c r="S286" s="104">
        <f>SUM(D194:K194)</f>
        <v>25004007.512337647</v>
      </c>
    </row>
    <row r="287" spans="3:19" x14ac:dyDescent="0.25">
      <c r="C287" s="14" t="s">
        <v>181</v>
      </c>
      <c r="D287" s="64">
        <f>D262</f>
        <v>7107124.8154226793</v>
      </c>
      <c r="F287" s="14" t="s">
        <v>89</v>
      </c>
      <c r="G287" s="64">
        <f>D264</f>
        <v>19892988.691960774</v>
      </c>
      <c r="J287" s="14" t="s">
        <v>110</v>
      </c>
      <c r="K287" s="104">
        <f>SUM(D199:K199)</f>
        <v>5000801.5024675308</v>
      </c>
      <c r="N287" s="14"/>
      <c r="O287" s="16"/>
      <c r="R287" s="14"/>
      <c r="S287" s="104"/>
    </row>
    <row r="288" spans="3:19" ht="30" x14ac:dyDescent="0.25">
      <c r="C288" s="14"/>
      <c r="D288" s="16"/>
      <c r="F288" s="85" t="s">
        <v>189</v>
      </c>
      <c r="G288" s="64">
        <f>G286*G287</f>
        <v>11935793.215176465</v>
      </c>
      <c r="J288" s="86" t="s">
        <v>192</v>
      </c>
      <c r="K288" s="104">
        <f>K286-K287</f>
        <v>20003206.009870116</v>
      </c>
      <c r="N288" s="14" t="s">
        <v>180</v>
      </c>
      <c r="O288" s="64">
        <f>D261</f>
        <v>4659124.8154226793</v>
      </c>
      <c r="R288" s="86" t="s">
        <v>111</v>
      </c>
      <c r="S288" s="104">
        <f>D257</f>
        <v>29329675.915094793</v>
      </c>
    </row>
    <row r="289" spans="3:19" x14ac:dyDescent="0.25">
      <c r="C289" s="14" t="s">
        <v>109</v>
      </c>
      <c r="D289" s="104">
        <f>D257</f>
        <v>29329675.915094793</v>
      </c>
      <c r="F289" s="14"/>
      <c r="G289" s="16"/>
      <c r="J289" s="14"/>
      <c r="K289" s="104"/>
      <c r="N289" s="14" t="s">
        <v>196</v>
      </c>
      <c r="O289" s="64">
        <f>D263</f>
        <v>2329562.4077113396</v>
      </c>
      <c r="R289" s="14"/>
      <c r="S289" s="16"/>
    </row>
    <row r="290" spans="3:19" ht="30" x14ac:dyDescent="0.25">
      <c r="C290" s="14"/>
      <c r="D290" s="16"/>
      <c r="F290" s="86" t="s">
        <v>111</v>
      </c>
      <c r="G290" s="104">
        <f>D257</f>
        <v>29329675.915094793</v>
      </c>
      <c r="J290" s="85" t="s">
        <v>111</v>
      </c>
      <c r="K290" s="104">
        <f>D257</f>
        <v>29329675.915094793</v>
      </c>
      <c r="N290" s="14" t="s">
        <v>94</v>
      </c>
      <c r="O290" s="104">
        <f>D260</f>
        <v>2448000</v>
      </c>
      <c r="R290" s="87" t="s">
        <v>113</v>
      </c>
      <c r="S290" s="58">
        <f>S286/S288</f>
        <v>0.85251564267947133</v>
      </c>
    </row>
    <row r="291" spans="3:19" x14ac:dyDescent="0.25">
      <c r="C291" s="82" t="s">
        <v>186</v>
      </c>
      <c r="D291" s="83">
        <f>(D286-D287)/D289</f>
        <v>0.741520334647783</v>
      </c>
      <c r="F291" s="14"/>
      <c r="G291" s="16"/>
      <c r="J291" s="14"/>
      <c r="K291" s="16"/>
      <c r="N291" s="86" t="s">
        <v>108</v>
      </c>
      <c r="O291" s="64">
        <f>SUM(O288:O290)</f>
        <v>9436687.2231340185</v>
      </c>
    </row>
    <row r="292" spans="3:19" ht="30" x14ac:dyDescent="0.25">
      <c r="D292" s="43"/>
      <c r="F292" s="87" t="s">
        <v>190</v>
      </c>
      <c r="G292" s="88">
        <f>G288/G290</f>
        <v>0.40695278221719444</v>
      </c>
      <c r="J292" s="87" t="s">
        <v>193</v>
      </c>
      <c r="K292" s="58">
        <f>K288/K290</f>
        <v>0.682012514143577</v>
      </c>
      <c r="N292" s="14"/>
      <c r="O292" s="16"/>
    </row>
    <row r="293" spans="3:19" ht="30" x14ac:dyDescent="0.25">
      <c r="N293" s="87" t="s">
        <v>197</v>
      </c>
      <c r="O293" s="58">
        <f>O286/O291</f>
        <v>2.1080479008770316</v>
      </c>
    </row>
    <row r="296" spans="3:19" x14ac:dyDescent="0.25">
      <c r="C296" s="34" t="s">
        <v>96</v>
      </c>
      <c r="D296" s="8"/>
      <c r="E296" s="22"/>
      <c r="H296" s="1"/>
    </row>
    <row r="297" spans="3:19" x14ac:dyDescent="0.25">
      <c r="C297" s="89" t="s">
        <v>97</v>
      </c>
      <c r="D297" s="15" t="s">
        <v>72</v>
      </c>
      <c r="E297" s="16" t="s">
        <v>114</v>
      </c>
      <c r="I297" s="1"/>
      <c r="J297" s="1"/>
      <c r="M297" s="1"/>
    </row>
    <row r="298" spans="3:19" ht="45" x14ac:dyDescent="0.25">
      <c r="C298" s="14" t="s">
        <v>101</v>
      </c>
      <c r="D298" s="47" t="s">
        <v>199</v>
      </c>
      <c r="E298" s="90">
        <f>D291</f>
        <v>0.741520334647783</v>
      </c>
    </row>
    <row r="299" spans="3:19" ht="30" x14ac:dyDescent="0.25">
      <c r="C299" s="14" t="s">
        <v>98</v>
      </c>
      <c r="D299" s="47" t="s">
        <v>190</v>
      </c>
      <c r="E299" s="91">
        <f>G292</f>
        <v>0.40695278221719444</v>
      </c>
      <c r="K299" s="28"/>
      <c r="M299" s="28"/>
    </row>
    <row r="300" spans="3:19" ht="30" x14ac:dyDescent="0.25">
      <c r="C300" s="14" t="s">
        <v>99</v>
      </c>
      <c r="D300" s="47" t="s">
        <v>193</v>
      </c>
      <c r="E300" s="92">
        <f>K292</f>
        <v>0.682012514143577</v>
      </c>
    </row>
    <row r="301" spans="3:19" ht="30" x14ac:dyDescent="0.25">
      <c r="C301" s="14" t="s">
        <v>100</v>
      </c>
      <c r="D301" s="47" t="s">
        <v>197</v>
      </c>
      <c r="E301" s="92">
        <f>O293</f>
        <v>2.1080479008770316</v>
      </c>
    </row>
    <row r="302" spans="3:19" ht="30" x14ac:dyDescent="0.25">
      <c r="C302" s="23" t="s">
        <v>102</v>
      </c>
      <c r="D302" s="72" t="s">
        <v>103</v>
      </c>
      <c r="E302" s="58">
        <f>S290</f>
        <v>0.85251564267947133</v>
      </c>
    </row>
    <row r="307" spans="3:4" ht="30" x14ac:dyDescent="0.25">
      <c r="C307" s="55" t="s">
        <v>115</v>
      </c>
      <c r="D307" s="22" t="s">
        <v>116</v>
      </c>
    </row>
    <row r="308" spans="3:4" x14ac:dyDescent="0.25">
      <c r="C308" s="14" t="s">
        <v>117</v>
      </c>
      <c r="D308" s="93">
        <f>E298</f>
        <v>0.741520334647783</v>
      </c>
    </row>
    <row r="309" spans="3:4" x14ac:dyDescent="0.25">
      <c r="C309" s="14" t="s">
        <v>118</v>
      </c>
      <c r="D309" s="94">
        <f>E299</f>
        <v>0.40695278221719444</v>
      </c>
    </row>
    <row r="310" spans="3:4" x14ac:dyDescent="0.25">
      <c r="C310" s="14" t="s">
        <v>119</v>
      </c>
      <c r="D310" s="16">
        <f>E300</f>
        <v>0.682012514143577</v>
      </c>
    </row>
    <row r="311" spans="3:4" x14ac:dyDescent="0.25">
      <c r="C311" s="14" t="s">
        <v>120</v>
      </c>
      <c r="D311" s="16">
        <f>E301</f>
        <v>2.1080479008770316</v>
      </c>
    </row>
    <row r="312" spans="3:4" x14ac:dyDescent="0.25">
      <c r="C312" s="14" t="s">
        <v>121</v>
      </c>
      <c r="D312" s="16">
        <f>E302</f>
        <v>0.85251564267947133</v>
      </c>
    </row>
    <row r="313" spans="3:4" x14ac:dyDescent="0.25">
      <c r="C313" s="23" t="s">
        <v>122</v>
      </c>
      <c r="D313" s="54">
        <f>0.717*D308+0.847*D309+3.107*D310+0.42*D311+0.998*D312</f>
        <v>4.731562697686984</v>
      </c>
    </row>
  </sheetData>
  <mergeCells count="2">
    <mergeCell ref="C188:K188"/>
    <mergeCell ref="C195:K195"/>
  </mergeCells>
  <conditionalFormatting sqref="D201:K201">
    <cfRule type="cellIs" dxfId="3" priority="3" operator="greaterThan">
      <formula>$D$187</formula>
    </cfRule>
    <cfRule type="cellIs" dxfId="2" priority="4" operator="lessThan">
      <formula>$D$187</formula>
    </cfRule>
  </conditionalFormatting>
  <conditionalFormatting sqref="D313">
    <cfRule type="cellIs" dxfId="1" priority="1" operator="lessThan">
      <formula>1.23</formula>
    </cfRule>
    <cfRule type="cellIs" dxfId="0" priority="2" operator="greaterThan">
      <formula>2.99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V34"/>
  <sheetViews>
    <sheetView topLeftCell="A25" workbookViewId="0">
      <selection activeCell="E16" sqref="E16"/>
    </sheetView>
  </sheetViews>
  <sheetFormatPr defaultRowHeight="15" x14ac:dyDescent="0.25"/>
  <cols>
    <col min="1" max="1" width="15.7109375" bestFit="1" customWidth="1"/>
    <col min="4" max="4" width="34.42578125" bestFit="1" customWidth="1"/>
    <col min="5" max="18" width="15.7109375" bestFit="1" customWidth="1"/>
    <col min="19" max="22" width="14.140625" bestFit="1" customWidth="1"/>
  </cols>
  <sheetData>
    <row r="7" spans="1:22" x14ac:dyDescent="0.25">
      <c r="D7" s="37" t="s">
        <v>8</v>
      </c>
    </row>
    <row r="9" spans="1:22" x14ac:dyDescent="0.25">
      <c r="D9" s="6" t="s">
        <v>49</v>
      </c>
    </row>
    <row r="10" spans="1:22" x14ac:dyDescent="0.25">
      <c r="D10" t="s">
        <v>50</v>
      </c>
      <c r="E10" s="109">
        <v>6565073</v>
      </c>
    </row>
    <row r="11" spans="1:22" x14ac:dyDescent="0.25">
      <c r="D11" t="s">
        <v>51</v>
      </c>
      <c r="E11" s="2">
        <v>0.08</v>
      </c>
    </row>
    <row r="12" spans="1:22" x14ac:dyDescent="0.25">
      <c r="D12" t="s">
        <v>57</v>
      </c>
      <c r="E12">
        <v>18</v>
      </c>
    </row>
    <row r="14" spans="1:22" x14ac:dyDescent="0.25">
      <c r="D14" s="6" t="s">
        <v>52</v>
      </c>
    </row>
    <row r="15" spans="1:22" x14ac:dyDescent="0.25">
      <c r="D15" t="s">
        <v>53</v>
      </c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15</v>
      </c>
      <c r="T15">
        <v>16</v>
      </c>
      <c r="U15">
        <v>17</v>
      </c>
      <c r="V15">
        <v>18</v>
      </c>
    </row>
    <row r="16" spans="1:22" ht="45" x14ac:dyDescent="0.25">
      <c r="A16" s="1" t="s">
        <v>62</v>
      </c>
      <c r="D16" t="s">
        <v>162</v>
      </c>
      <c r="E16" s="36">
        <f>E10</f>
        <v>6565073</v>
      </c>
      <c r="F16" s="36">
        <f>E16-E19</f>
        <v>6220579.775867288</v>
      </c>
      <c r="G16" s="36">
        <f t="shared" ref="G16:V16" si="0">F16-F19</f>
        <v>5873789.9302403573</v>
      </c>
      <c r="H16" s="36">
        <f t="shared" si="0"/>
        <v>5524688.1523092473</v>
      </c>
      <c r="I16" s="36">
        <f t="shared" si="0"/>
        <v>5173259.0291919298</v>
      </c>
      <c r="J16" s="36">
        <f t="shared" si="0"/>
        <v>4819487.04525383</v>
      </c>
      <c r="K16" s="36">
        <f t="shared" si="0"/>
        <v>4463356.5814228104</v>
      </c>
      <c r="L16" s="36">
        <f t="shared" si="0"/>
        <v>4104851.9144995837</v>
      </c>
      <c r="M16" s="36">
        <f t="shared" si="0"/>
        <v>3743957.2164635351</v>
      </c>
      <c r="N16" s="36">
        <f t="shared" si="0"/>
        <v>3380656.5537739131</v>
      </c>
      <c r="O16" s="36">
        <f t="shared" si="0"/>
        <v>3014933.8866663603</v>
      </c>
      <c r="P16" s="36">
        <f t="shared" si="0"/>
        <v>2646773.0684447573</v>
      </c>
      <c r="Q16" s="36">
        <f t="shared" si="0"/>
        <v>2276157.8447683435</v>
      </c>
      <c r="R16" s="36">
        <f t="shared" si="0"/>
        <v>1903071.8529340869</v>
      </c>
      <c r="S16" s="36">
        <f t="shared" si="0"/>
        <v>1527498.6211542687</v>
      </c>
      <c r="T16" s="36">
        <f t="shared" si="0"/>
        <v>1149421.5678292518</v>
      </c>
      <c r="U16" s="36">
        <f t="shared" si="0"/>
        <v>768824.0008154012</v>
      </c>
      <c r="V16" s="36">
        <f t="shared" si="0"/>
        <v>385689.11668812501</v>
      </c>
    </row>
    <row r="17" spans="1:22" x14ac:dyDescent="0.25">
      <c r="A17" s="38">
        <f>E17*E12</f>
        <v>6988686.7943888195</v>
      </c>
      <c r="D17" t="s">
        <v>54</v>
      </c>
      <c r="E17" s="36">
        <f>PMT($E$11/12,$E$12,-$E$10,0)</f>
        <v>388260.37746604555</v>
      </c>
      <c r="F17" s="36">
        <f>PMT($E$11/12,$E$12,-$E$10,0)</f>
        <v>388260.37746604555</v>
      </c>
      <c r="G17" s="36">
        <f t="shared" ref="G17:V17" si="1">PMT($E$11/12,$E$12,-$E$10,0)</f>
        <v>388260.37746604555</v>
      </c>
      <c r="H17" s="36">
        <f t="shared" si="1"/>
        <v>388260.37746604555</v>
      </c>
      <c r="I17" s="36">
        <f t="shared" si="1"/>
        <v>388260.37746604555</v>
      </c>
      <c r="J17" s="36">
        <f t="shared" si="1"/>
        <v>388260.37746604555</v>
      </c>
      <c r="K17" s="36">
        <f t="shared" si="1"/>
        <v>388260.37746604555</v>
      </c>
      <c r="L17" s="36">
        <f t="shared" si="1"/>
        <v>388260.37746604555</v>
      </c>
      <c r="M17" s="36">
        <f t="shared" si="1"/>
        <v>388260.37746604555</v>
      </c>
      <c r="N17" s="36">
        <f t="shared" si="1"/>
        <v>388260.37746604555</v>
      </c>
      <c r="O17" s="36">
        <f t="shared" si="1"/>
        <v>388260.37746604555</v>
      </c>
      <c r="P17" s="36">
        <f t="shared" si="1"/>
        <v>388260.37746604555</v>
      </c>
      <c r="Q17" s="36">
        <f t="shared" si="1"/>
        <v>388260.37746604555</v>
      </c>
      <c r="R17" s="36">
        <f t="shared" si="1"/>
        <v>388260.37746604555</v>
      </c>
      <c r="S17" s="36">
        <f t="shared" si="1"/>
        <v>388260.37746604555</v>
      </c>
      <c r="T17" s="36">
        <f t="shared" si="1"/>
        <v>388260.37746604555</v>
      </c>
      <c r="U17" s="36">
        <f t="shared" si="1"/>
        <v>388260.37746604555</v>
      </c>
      <c r="V17" s="36">
        <f t="shared" si="1"/>
        <v>388260.37746604555</v>
      </c>
    </row>
    <row r="18" spans="1:22" x14ac:dyDescent="0.25">
      <c r="D18" t="s">
        <v>55</v>
      </c>
      <c r="E18" s="36">
        <f>($E$11/12)*E16</f>
        <v>43767.153333333335</v>
      </c>
      <c r="F18" s="36">
        <f>($E$11/12)*F16</f>
        <v>41470.531839115254</v>
      </c>
      <c r="G18" s="36">
        <f t="shared" ref="G18:V18" si="2">($E$11/12)*G16</f>
        <v>39158.599534935718</v>
      </c>
      <c r="H18" s="36">
        <f t="shared" si="2"/>
        <v>36831.254348728318</v>
      </c>
      <c r="I18" s="36">
        <f t="shared" si="2"/>
        <v>34488.393527946202</v>
      </c>
      <c r="J18" s="36">
        <f t="shared" si="2"/>
        <v>32129.913635025536</v>
      </c>
      <c r="K18" s="36">
        <f t="shared" si="2"/>
        <v>29755.710542818739</v>
      </c>
      <c r="L18" s="36">
        <f t="shared" si="2"/>
        <v>27365.679429997224</v>
      </c>
      <c r="M18" s="36">
        <f t="shared" si="2"/>
        <v>24959.714776423571</v>
      </c>
      <c r="N18" s="36">
        <f t="shared" si="2"/>
        <v>22537.710358492754</v>
      </c>
      <c r="O18" s="36">
        <f t="shared" si="2"/>
        <v>20099.559244442404</v>
      </c>
      <c r="P18" s="36">
        <f t="shared" si="2"/>
        <v>17645.153789631717</v>
      </c>
      <c r="Q18" s="36">
        <f t="shared" si="2"/>
        <v>15174.385631788957</v>
      </c>
      <c r="R18" s="36">
        <f t="shared" si="2"/>
        <v>12687.145686227246</v>
      </c>
      <c r="S18" s="36">
        <f t="shared" si="2"/>
        <v>10183.324141028459</v>
      </c>
      <c r="T18" s="36">
        <f t="shared" si="2"/>
        <v>7662.8104521950117</v>
      </c>
      <c r="U18" s="36">
        <f t="shared" si="2"/>
        <v>5125.4933387693418</v>
      </c>
      <c r="V18" s="36">
        <f t="shared" si="2"/>
        <v>2571.2607779208338</v>
      </c>
    </row>
    <row r="19" spans="1:22" x14ac:dyDescent="0.25">
      <c r="D19" t="s">
        <v>56</v>
      </c>
      <c r="E19" s="36">
        <f>E17-E18</f>
        <v>344493.22413271223</v>
      </c>
      <c r="F19" s="36">
        <f>F17-F18</f>
        <v>346789.8456269303</v>
      </c>
      <c r="G19" s="36">
        <f t="shared" ref="G19:V19" si="3">G17-G18</f>
        <v>349101.77793110983</v>
      </c>
      <c r="H19" s="36">
        <f t="shared" si="3"/>
        <v>351429.12311731721</v>
      </c>
      <c r="I19" s="36">
        <f t="shared" si="3"/>
        <v>353771.98393809935</v>
      </c>
      <c r="J19" s="36">
        <f t="shared" si="3"/>
        <v>356130.46383102</v>
      </c>
      <c r="K19" s="36">
        <f t="shared" si="3"/>
        <v>358504.66692322679</v>
      </c>
      <c r="L19" s="36">
        <f t="shared" si="3"/>
        <v>360894.69803604833</v>
      </c>
      <c r="M19" s="36">
        <f t="shared" si="3"/>
        <v>363300.66268962197</v>
      </c>
      <c r="N19" s="36">
        <f t="shared" si="3"/>
        <v>365722.66710755281</v>
      </c>
      <c r="O19" s="36">
        <f t="shared" si="3"/>
        <v>368160.81822160317</v>
      </c>
      <c r="P19" s="36">
        <f t="shared" si="3"/>
        <v>370615.22367641382</v>
      </c>
      <c r="Q19" s="36">
        <f t="shared" si="3"/>
        <v>373085.99183425662</v>
      </c>
      <c r="R19" s="36">
        <f t="shared" si="3"/>
        <v>375573.23177981831</v>
      </c>
      <c r="S19" s="36">
        <f t="shared" si="3"/>
        <v>378077.0533250171</v>
      </c>
      <c r="T19" s="36">
        <f t="shared" si="3"/>
        <v>380597.56701385055</v>
      </c>
      <c r="U19" s="36">
        <f t="shared" si="3"/>
        <v>383134.88412727619</v>
      </c>
      <c r="V19" s="36">
        <f t="shared" si="3"/>
        <v>385689.11668812472</v>
      </c>
    </row>
    <row r="22" spans="1:22" x14ac:dyDescent="0.25">
      <c r="D22" s="6" t="s">
        <v>58</v>
      </c>
    </row>
    <row r="23" spans="1:22" x14ac:dyDescent="0.25">
      <c r="D23" s="6" t="s">
        <v>59</v>
      </c>
      <c r="F23" t="s">
        <v>60</v>
      </c>
    </row>
    <row r="24" spans="1:22" x14ac:dyDescent="0.25">
      <c r="D24" t="s">
        <v>51</v>
      </c>
      <c r="E24" s="36">
        <f>E18</f>
        <v>43767.153333333335</v>
      </c>
      <c r="F24" s="36">
        <f t="shared" ref="F24:V24" si="4">F18</f>
        <v>41470.531839115254</v>
      </c>
      <c r="G24" s="36">
        <f t="shared" si="4"/>
        <v>39158.599534935718</v>
      </c>
      <c r="H24" s="36">
        <f t="shared" si="4"/>
        <v>36831.254348728318</v>
      </c>
      <c r="I24" s="36">
        <f t="shared" si="4"/>
        <v>34488.393527946202</v>
      </c>
      <c r="J24" s="36">
        <f t="shared" si="4"/>
        <v>32129.913635025536</v>
      </c>
      <c r="K24" s="36">
        <f t="shared" si="4"/>
        <v>29755.710542818739</v>
      </c>
      <c r="L24" s="36">
        <f t="shared" si="4"/>
        <v>27365.679429997224</v>
      </c>
      <c r="M24" s="36">
        <f t="shared" si="4"/>
        <v>24959.714776423571</v>
      </c>
      <c r="N24" s="36">
        <f t="shared" si="4"/>
        <v>22537.710358492754</v>
      </c>
      <c r="O24" s="36">
        <f t="shared" si="4"/>
        <v>20099.559244442404</v>
      </c>
      <c r="P24" s="36">
        <f t="shared" si="4"/>
        <v>17645.153789631717</v>
      </c>
      <c r="Q24" s="36">
        <f t="shared" si="4"/>
        <v>15174.385631788957</v>
      </c>
      <c r="R24" s="36">
        <f t="shared" si="4"/>
        <v>12687.145686227246</v>
      </c>
      <c r="S24" s="36">
        <f t="shared" si="4"/>
        <v>10183.324141028459</v>
      </c>
      <c r="T24" s="36">
        <f t="shared" si="4"/>
        <v>7662.8104521950117</v>
      </c>
      <c r="U24" s="36">
        <f t="shared" si="4"/>
        <v>5125.4933387693418</v>
      </c>
      <c r="V24" s="36">
        <f t="shared" si="4"/>
        <v>2571.2607779208338</v>
      </c>
    </row>
    <row r="25" spans="1:22" x14ac:dyDescent="0.25">
      <c r="D25" s="2">
        <v>0.08</v>
      </c>
      <c r="E25" s="109">
        <f t="dataTable" ref="E25:V26" dt2D="0" dtr="0" r1="E11" ca="1"/>
        <v>43767.153333333335</v>
      </c>
      <c r="F25" s="109">
        <v>41470.531839115254</v>
      </c>
      <c r="G25" s="109">
        <v>39158.599534935718</v>
      </c>
      <c r="H25" s="109">
        <v>36831.254348728318</v>
      </c>
      <c r="I25" s="109">
        <v>34488.393527946202</v>
      </c>
      <c r="J25" s="109">
        <v>32129.913635025536</v>
      </c>
      <c r="K25" s="109">
        <v>29755.710542818739</v>
      </c>
      <c r="L25" s="109">
        <v>27365.679429997224</v>
      </c>
      <c r="M25" s="109">
        <v>24959.714776423571</v>
      </c>
      <c r="N25" s="109">
        <v>22537.710358492754</v>
      </c>
      <c r="O25" s="109">
        <v>20099.559244442404</v>
      </c>
      <c r="P25" s="109">
        <v>17645.153789631717</v>
      </c>
      <c r="Q25" s="109">
        <v>15174.385631788957</v>
      </c>
      <c r="R25" s="109">
        <v>12687.145686227246</v>
      </c>
      <c r="S25" s="109">
        <v>10183.324141028459</v>
      </c>
      <c r="T25" s="109">
        <v>7662.8104521950117</v>
      </c>
      <c r="U25" s="109">
        <v>5125.4933387693418</v>
      </c>
      <c r="V25" s="109">
        <v>2571.2607779208338</v>
      </c>
    </row>
    <row r="26" spans="1:22" x14ac:dyDescent="0.25">
      <c r="D26" s="2">
        <v>0.1</v>
      </c>
      <c r="E26" s="109">
        <v>54708.941666666666</v>
      </c>
      <c r="F26" s="109">
        <v>51879.190226899256</v>
      </c>
      <c r="G26" s="109">
        <v>49025.85752513379</v>
      </c>
      <c r="H26" s="109">
        <v>46148.747050853606</v>
      </c>
      <c r="I26" s="109">
        <v>43247.660655954423</v>
      </c>
      <c r="J26" s="109">
        <v>40322.398541097755</v>
      </c>
      <c r="K26" s="109">
        <v>37372.759241950604</v>
      </c>
      <c r="L26" s="109">
        <v>34398.539615310568</v>
      </c>
      <c r="M26" s="109">
        <v>31399.534825115192</v>
      </c>
      <c r="N26" s="109">
        <v>28375.538328334856</v>
      </c>
      <c r="O26" s="109">
        <v>25326.341860748016</v>
      </c>
      <c r="P26" s="109">
        <v>22251.735422597954</v>
      </c>
      <c r="Q26" s="109">
        <v>19151.507264129974</v>
      </c>
      <c r="R26" s="109">
        <v>16025.443871008094</v>
      </c>
      <c r="S26" s="109">
        <v>12873.329949610199</v>
      </c>
      <c r="T26" s="109">
        <v>9694.9484122006543</v>
      </c>
      <c r="U26" s="109">
        <v>6490.0803619793651</v>
      </c>
      <c r="V26" s="109">
        <v>3258.5050780062315</v>
      </c>
    </row>
    <row r="30" spans="1:22" x14ac:dyDescent="0.25">
      <c r="D30" s="6" t="s">
        <v>61</v>
      </c>
    </row>
    <row r="31" spans="1:22" x14ac:dyDescent="0.25">
      <c r="D31" t="s">
        <v>59</v>
      </c>
      <c r="E31" s="5" t="s">
        <v>63</v>
      </c>
    </row>
    <row r="32" spans="1:22" x14ac:dyDescent="0.25">
      <c r="D32" t="s">
        <v>51</v>
      </c>
      <c r="E32" s="36">
        <f>E19</f>
        <v>344493.22413271223</v>
      </c>
      <c r="F32" s="36">
        <f t="shared" ref="F32:V32" si="5">F19</f>
        <v>346789.8456269303</v>
      </c>
      <c r="G32" s="36">
        <f t="shared" si="5"/>
        <v>349101.77793110983</v>
      </c>
      <c r="H32" s="36">
        <f t="shared" si="5"/>
        <v>351429.12311731721</v>
      </c>
      <c r="I32" s="36">
        <f t="shared" si="5"/>
        <v>353771.98393809935</v>
      </c>
      <c r="J32" s="36">
        <f t="shared" si="5"/>
        <v>356130.46383102</v>
      </c>
      <c r="K32" s="36">
        <f t="shared" si="5"/>
        <v>358504.66692322679</v>
      </c>
      <c r="L32" s="36">
        <f t="shared" si="5"/>
        <v>360894.69803604833</v>
      </c>
      <c r="M32" s="36">
        <f t="shared" si="5"/>
        <v>363300.66268962197</v>
      </c>
      <c r="N32" s="36">
        <f t="shared" si="5"/>
        <v>365722.66710755281</v>
      </c>
      <c r="O32" s="36">
        <f t="shared" si="5"/>
        <v>368160.81822160317</v>
      </c>
      <c r="P32" s="36">
        <f t="shared" si="5"/>
        <v>370615.22367641382</v>
      </c>
      <c r="Q32" s="36">
        <f t="shared" si="5"/>
        <v>373085.99183425662</v>
      </c>
      <c r="R32" s="36">
        <f t="shared" si="5"/>
        <v>375573.23177981831</v>
      </c>
      <c r="S32" s="36">
        <f t="shared" si="5"/>
        <v>378077.0533250171</v>
      </c>
      <c r="T32" s="36">
        <f t="shared" si="5"/>
        <v>380597.56701385055</v>
      </c>
      <c r="U32" s="36">
        <f t="shared" si="5"/>
        <v>383134.88412727619</v>
      </c>
      <c r="V32" s="36">
        <f t="shared" si="5"/>
        <v>385689.11668812472</v>
      </c>
    </row>
    <row r="33" spans="4:22" x14ac:dyDescent="0.25">
      <c r="D33" s="2">
        <v>0.08</v>
      </c>
      <c r="E33" s="109">
        <f t="dataTable" ref="E33:V34" dt2D="0" dtr="0" r1="E11"/>
        <v>344493.22413271223</v>
      </c>
      <c r="F33" s="109">
        <v>346789.8456269303</v>
      </c>
      <c r="G33" s="109">
        <v>349101.77793110983</v>
      </c>
      <c r="H33" s="109">
        <v>351429.12311731721</v>
      </c>
      <c r="I33" s="109">
        <v>353771.98393809935</v>
      </c>
      <c r="J33" s="109">
        <v>356130.46383102</v>
      </c>
      <c r="K33" s="109">
        <v>358504.66692322679</v>
      </c>
      <c r="L33" s="109">
        <v>360894.69803604833</v>
      </c>
      <c r="M33" s="109">
        <v>363300.66268962197</v>
      </c>
      <c r="N33" s="109">
        <v>365722.66710755281</v>
      </c>
      <c r="O33" s="109">
        <v>368160.81822160317</v>
      </c>
      <c r="P33" s="109">
        <v>370615.22367641382</v>
      </c>
      <c r="Q33" s="109">
        <v>373085.99183425662</v>
      </c>
      <c r="R33" s="109">
        <v>375573.23177981831</v>
      </c>
      <c r="S33" s="109">
        <v>378077.0533250171</v>
      </c>
      <c r="T33" s="109">
        <v>380597.56701385055</v>
      </c>
      <c r="U33" s="109">
        <v>383134.88412727619</v>
      </c>
      <c r="V33" s="109">
        <v>385689.11668812472</v>
      </c>
    </row>
    <row r="34" spans="4:22" x14ac:dyDescent="0.25">
      <c r="D34" s="2">
        <v>0.1</v>
      </c>
      <c r="E34" s="109">
        <v>339570.17277208879</v>
      </c>
      <c r="F34" s="109">
        <v>342399.92421185621</v>
      </c>
      <c r="G34" s="109">
        <v>345253.25691362168</v>
      </c>
      <c r="H34" s="109">
        <v>348130.36738790182</v>
      </c>
      <c r="I34" s="109">
        <v>351031.45378280099</v>
      </c>
      <c r="J34" s="109">
        <v>353956.71589765768</v>
      </c>
      <c r="K34" s="109">
        <v>356906.35519680486</v>
      </c>
      <c r="L34" s="109">
        <v>359880.57482344488</v>
      </c>
      <c r="M34" s="109">
        <v>362879.57961364026</v>
      </c>
      <c r="N34" s="109">
        <v>365903.57611042057</v>
      </c>
      <c r="O34" s="109">
        <v>368952.77257800743</v>
      </c>
      <c r="P34" s="109">
        <v>372027.37901615747</v>
      </c>
      <c r="Q34" s="109">
        <v>375127.60717462545</v>
      </c>
      <c r="R34" s="109">
        <v>378253.67056774732</v>
      </c>
      <c r="S34" s="109">
        <v>381405.78448914521</v>
      </c>
      <c r="T34" s="109">
        <v>384584.16602655477</v>
      </c>
      <c r="U34" s="109">
        <v>387789.03407677606</v>
      </c>
      <c r="V34" s="109">
        <v>391020.60936074919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7:R14"/>
  <sheetViews>
    <sheetView topLeftCell="A4" workbookViewId="0">
      <selection activeCell="E9" sqref="E9"/>
    </sheetView>
  </sheetViews>
  <sheetFormatPr defaultRowHeight="15" x14ac:dyDescent="0.25"/>
  <cols>
    <col min="1" max="1" width="6.42578125" customWidth="1"/>
    <col min="2" max="2" width="6.5703125" customWidth="1"/>
    <col min="3" max="3" width="7.28515625" customWidth="1"/>
    <col min="4" max="4" width="18" customWidth="1"/>
    <col min="5" max="5" width="13.85546875" customWidth="1"/>
    <col min="6" max="6" width="14.7109375" customWidth="1"/>
    <col min="7" max="7" width="16" customWidth="1"/>
    <col min="8" max="10" width="13" customWidth="1"/>
    <col min="11" max="11" width="12.28515625" customWidth="1"/>
    <col min="13" max="13" width="17.28515625" bestFit="1" customWidth="1"/>
    <col min="14" max="14" width="17.42578125" bestFit="1" customWidth="1"/>
    <col min="15" max="15" width="17.42578125" customWidth="1"/>
    <col min="18" max="18" width="13.85546875" customWidth="1"/>
  </cols>
  <sheetData>
    <row r="7" spans="4:18" ht="60" x14ac:dyDescent="0.25">
      <c r="D7" s="37" t="s">
        <v>64</v>
      </c>
      <c r="E7" t="s">
        <v>10</v>
      </c>
      <c r="F7" t="s">
        <v>123</v>
      </c>
      <c r="G7" t="s">
        <v>124</v>
      </c>
      <c r="I7" s="117" t="s">
        <v>229</v>
      </c>
      <c r="K7" s="1" t="s">
        <v>65</v>
      </c>
      <c r="L7" s="1"/>
      <c r="M7" s="1" t="s">
        <v>66</v>
      </c>
      <c r="N7" t="s">
        <v>64</v>
      </c>
      <c r="P7" t="s">
        <v>164</v>
      </c>
      <c r="R7" s="1" t="s">
        <v>165</v>
      </c>
    </row>
    <row r="8" spans="4:18" ht="29.25" customHeight="1" x14ac:dyDescent="0.25">
      <c r="D8" t="s">
        <v>9</v>
      </c>
      <c r="E8" s="109">
        <v>25000</v>
      </c>
      <c r="F8" s="109">
        <v>13000</v>
      </c>
      <c r="G8" s="109">
        <v>25000</v>
      </c>
      <c r="K8" s="109">
        <v>4000</v>
      </c>
      <c r="M8">
        <v>5</v>
      </c>
      <c r="N8" s="36">
        <f>SLN(E8,K8,M8)</f>
        <v>4200</v>
      </c>
      <c r="O8" s="36"/>
      <c r="P8">
        <v>1</v>
      </c>
      <c r="R8" s="38">
        <f>P8*N8</f>
        <v>4200</v>
      </c>
    </row>
    <row r="9" spans="4:18" ht="32.25" customHeight="1" x14ac:dyDescent="0.25">
      <c r="D9" t="s">
        <v>67</v>
      </c>
      <c r="E9" s="109">
        <f>I9*20</f>
        <v>20000</v>
      </c>
      <c r="F9" s="109">
        <v>20000</v>
      </c>
      <c r="G9" s="109">
        <v>100000</v>
      </c>
      <c r="I9">
        <v>1000</v>
      </c>
      <c r="K9" s="109">
        <v>18000</v>
      </c>
      <c r="M9">
        <v>3</v>
      </c>
      <c r="N9" s="36">
        <f>SLN(E9,K9,M9)</f>
        <v>666.66666666666663</v>
      </c>
      <c r="O9" s="36"/>
      <c r="P9">
        <v>1</v>
      </c>
      <c r="R9" s="38">
        <f t="shared" ref="R9:R11" si="0">P9*N9</f>
        <v>666.66666666666663</v>
      </c>
    </row>
    <row r="10" spans="4:18" ht="30.75" customHeight="1" x14ac:dyDescent="0.25">
      <c r="D10" t="s">
        <v>138</v>
      </c>
      <c r="E10" s="109">
        <f>I10*10</f>
        <v>6000</v>
      </c>
      <c r="F10" s="109">
        <v>6000</v>
      </c>
      <c r="G10" s="109">
        <v>60000</v>
      </c>
      <c r="I10">
        <v>600</v>
      </c>
      <c r="K10" s="109">
        <v>3000</v>
      </c>
      <c r="M10">
        <v>3</v>
      </c>
      <c r="N10" s="36">
        <f>SLN(E10,K10,M10)</f>
        <v>1000</v>
      </c>
      <c r="O10" s="36"/>
      <c r="P10">
        <v>1</v>
      </c>
      <c r="R10" s="38">
        <f t="shared" si="0"/>
        <v>1000</v>
      </c>
    </row>
    <row r="11" spans="4:18" ht="30.75" customHeight="1" x14ac:dyDescent="0.25">
      <c r="D11" t="s">
        <v>166</v>
      </c>
      <c r="E11" s="109">
        <f>I11*10</f>
        <v>50000</v>
      </c>
      <c r="F11" s="109">
        <v>50000</v>
      </c>
      <c r="G11" s="109">
        <v>120000</v>
      </c>
      <c r="I11">
        <v>5000</v>
      </c>
      <c r="K11" s="109">
        <v>7000</v>
      </c>
      <c r="M11">
        <v>5</v>
      </c>
      <c r="N11" s="36">
        <f>SLN(E11,K11,M11)</f>
        <v>8600</v>
      </c>
      <c r="O11" s="36"/>
      <c r="P11">
        <v>3</v>
      </c>
      <c r="R11" s="38">
        <f t="shared" si="0"/>
        <v>25800</v>
      </c>
    </row>
    <row r="13" spans="4:18" ht="75" x14ac:dyDescent="0.25">
      <c r="D13" s="1" t="s">
        <v>167</v>
      </c>
      <c r="E13" s="38">
        <f>SUM(R8:R11)</f>
        <v>31666.666666666668</v>
      </c>
    </row>
    <row r="14" spans="4:18" x14ac:dyDescent="0.25">
      <c r="D14" s="1"/>
      <c r="E14" s="1"/>
      <c r="F14" s="1"/>
      <c r="G14" s="1"/>
      <c r="H14" s="1"/>
      <c r="I14" s="1"/>
      <c r="J14" s="1"/>
    </row>
  </sheetData>
  <dataValidations count="3">
    <dataValidation type="whole" allowBlank="1" showInputMessage="1" showErrorMessage="1" sqref="E8">
      <formula1>13000</formula1>
      <formula2>25000</formula2>
    </dataValidation>
    <dataValidation type="whole" allowBlank="1" showInputMessage="1" showErrorMessage="1" sqref="E9">
      <formula1>20000</formula1>
      <formula2>100000</formula2>
    </dataValidation>
    <dataValidation type="whole" allowBlank="1" showInputMessage="1" showErrorMessage="1" sqref="E10">
      <formula1>6000</formula1>
      <formula2>60000</formula2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9" r:id="rId3" name="Spinner 7">
              <controlPr defaultSize="0" autoPict="0">
                <anchor moveWithCells="1" sizeWithCells="1">
                  <from>
                    <xdr:col>7</xdr:col>
                    <xdr:colOff>38100</xdr:colOff>
                    <xdr:row>6</xdr:row>
                    <xdr:rowOff>1104900</xdr:rowOff>
                  </from>
                  <to>
                    <xdr:col>7</xdr:col>
                    <xdr:colOff>838200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4" name="Spinner 8">
              <controlPr defaultSize="0" autoPict="0">
                <anchor moveWithCells="1" sizeWithCells="1">
                  <from>
                    <xdr:col>7</xdr:col>
                    <xdr:colOff>66675</xdr:colOff>
                    <xdr:row>8</xdr:row>
                    <xdr:rowOff>38100</xdr:rowOff>
                  </from>
                  <to>
                    <xdr:col>7</xdr:col>
                    <xdr:colOff>819150</xdr:colOff>
                    <xdr:row>8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5" name="Spinner 9">
              <controlPr defaultSize="0" autoPict="0">
                <anchor moveWithCells="1" sizeWithCells="1">
                  <from>
                    <xdr:col>7</xdr:col>
                    <xdr:colOff>19050</xdr:colOff>
                    <xdr:row>9</xdr:row>
                    <xdr:rowOff>19050</xdr:rowOff>
                  </from>
                  <to>
                    <xdr:col>8</xdr:col>
                    <xdr:colOff>0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6" name="Spinner 10">
              <controlPr defaultSize="0" autoPict="0">
                <anchor moveWithCells="1" sizeWithCells="1">
                  <from>
                    <xdr:col>7</xdr:col>
                    <xdr:colOff>47625</xdr:colOff>
                    <xdr:row>9</xdr:row>
                    <xdr:rowOff>381000</xdr:rowOff>
                  </from>
                  <to>
                    <xdr:col>7</xdr:col>
                    <xdr:colOff>819150</xdr:colOff>
                    <xdr:row>10</xdr:row>
                    <xdr:rowOff>371475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3:W33"/>
  <sheetViews>
    <sheetView tabSelected="1" topLeftCell="A19" workbookViewId="0">
      <selection activeCell="H22" sqref="H22"/>
    </sheetView>
  </sheetViews>
  <sheetFormatPr defaultRowHeight="15" x14ac:dyDescent="0.25"/>
  <cols>
    <col min="4" max="4" width="49.42578125" bestFit="1" customWidth="1"/>
    <col min="5" max="5" width="12" bestFit="1" customWidth="1"/>
    <col min="6" max="6" width="19.85546875" bestFit="1" customWidth="1"/>
    <col min="7" max="7" width="15" style="1" bestFit="1" customWidth="1"/>
    <col min="8" max="8" width="23.5703125" bestFit="1" customWidth="1"/>
    <col min="9" max="9" width="21" customWidth="1"/>
    <col min="10" max="11" width="12.85546875" bestFit="1" customWidth="1"/>
    <col min="13" max="13" width="11.140625" customWidth="1"/>
    <col min="16" max="16" width="74.5703125" customWidth="1"/>
    <col min="17" max="17" width="14.7109375" bestFit="1" customWidth="1"/>
    <col min="18" max="18" width="16.140625" customWidth="1"/>
    <col min="19" max="21" width="12.85546875" bestFit="1" customWidth="1"/>
    <col min="22" max="22" width="14.5703125" bestFit="1" customWidth="1"/>
    <col min="23" max="23" width="11.7109375" bestFit="1" customWidth="1"/>
  </cols>
  <sheetData>
    <row r="3" spans="4:23" ht="45" x14ac:dyDescent="0.25">
      <c r="D3" s="34" t="s">
        <v>0</v>
      </c>
      <c r="E3" s="48" t="s">
        <v>46</v>
      </c>
      <c r="F3" s="8" t="s">
        <v>133</v>
      </c>
      <c r="G3" s="9" t="s">
        <v>43</v>
      </c>
      <c r="H3" s="8" t="s">
        <v>44</v>
      </c>
      <c r="I3" s="10" t="s">
        <v>134</v>
      </c>
    </row>
    <row r="4" spans="4:23" x14ac:dyDescent="0.25">
      <c r="D4" s="23" t="s">
        <v>1</v>
      </c>
      <c r="E4" s="49">
        <v>0.4</v>
      </c>
      <c r="F4" s="49">
        <v>0.3</v>
      </c>
      <c r="G4" s="50">
        <v>0.05</v>
      </c>
      <c r="H4" s="49">
        <v>0.1</v>
      </c>
      <c r="I4" s="51">
        <v>0.15</v>
      </c>
    </row>
    <row r="7" spans="4:23" x14ac:dyDescent="0.25">
      <c r="D7" s="34" t="s">
        <v>135</v>
      </c>
      <c r="E7" s="8"/>
      <c r="F7" s="8"/>
      <c r="G7" s="9"/>
      <c r="H7" s="8"/>
      <c r="I7" s="8"/>
      <c r="J7" s="8"/>
      <c r="K7" s="8"/>
      <c r="L7" s="8"/>
      <c r="M7" s="8"/>
      <c r="N7" s="8"/>
      <c r="O7" s="8"/>
      <c r="P7" s="22"/>
    </row>
    <row r="8" spans="4:23" x14ac:dyDescent="0.25">
      <c r="D8" s="14"/>
      <c r="E8" s="15" t="s">
        <v>15</v>
      </c>
      <c r="F8" s="15" t="s">
        <v>16</v>
      </c>
      <c r="G8" s="47" t="s">
        <v>17</v>
      </c>
      <c r="H8" s="15" t="s">
        <v>18</v>
      </c>
      <c r="I8" s="15" t="s">
        <v>19</v>
      </c>
      <c r="J8" s="15" t="s">
        <v>20</v>
      </c>
      <c r="K8" s="15" t="s">
        <v>21</v>
      </c>
      <c r="L8" s="15" t="s">
        <v>22</v>
      </c>
      <c r="M8" s="15" t="s">
        <v>23</v>
      </c>
      <c r="N8" s="15" t="s">
        <v>24</v>
      </c>
      <c r="O8" s="15" t="s">
        <v>25</v>
      </c>
      <c r="P8" s="16" t="s">
        <v>26</v>
      </c>
    </row>
    <row r="9" spans="4:23" x14ac:dyDescent="0.25">
      <c r="D9" s="14" t="s">
        <v>27</v>
      </c>
      <c r="E9" s="15">
        <v>4500</v>
      </c>
      <c r="F9" s="15">
        <v>4500</v>
      </c>
      <c r="G9" s="47">
        <v>255000</v>
      </c>
      <c r="H9" s="15">
        <v>255000</v>
      </c>
      <c r="I9" s="15">
        <v>2340000</v>
      </c>
      <c r="J9" s="15">
        <v>2340000</v>
      </c>
      <c r="K9" s="15">
        <v>2340000</v>
      </c>
      <c r="L9" s="15">
        <v>2340000</v>
      </c>
      <c r="M9" s="15">
        <v>255000</v>
      </c>
      <c r="N9" s="15">
        <v>255000</v>
      </c>
      <c r="O9" s="15">
        <v>4500</v>
      </c>
      <c r="P9" s="16">
        <v>4500</v>
      </c>
    </row>
    <row r="10" spans="4:23" x14ac:dyDescent="0.25">
      <c r="D10" s="23" t="s">
        <v>28</v>
      </c>
      <c r="E10" s="24">
        <v>22.5</v>
      </c>
      <c r="F10" s="24">
        <v>22.5</v>
      </c>
      <c r="G10" s="52">
        <v>1709</v>
      </c>
      <c r="H10" s="53">
        <v>1709</v>
      </c>
      <c r="I10" s="53">
        <v>27378</v>
      </c>
      <c r="J10" s="53">
        <v>27378</v>
      </c>
      <c r="K10" s="53">
        <v>27378</v>
      </c>
      <c r="L10" s="53">
        <v>27378</v>
      </c>
      <c r="M10" s="53">
        <v>1709</v>
      </c>
      <c r="N10" s="53">
        <v>1709</v>
      </c>
      <c r="O10" s="24">
        <v>22.5</v>
      </c>
      <c r="P10" s="54">
        <v>22.5</v>
      </c>
    </row>
    <row r="15" spans="4:23" ht="45" x14ac:dyDescent="0.25">
      <c r="D15" s="55" t="s">
        <v>200</v>
      </c>
      <c r="E15" s="8" t="s">
        <v>46</v>
      </c>
      <c r="F15" s="9" t="s">
        <v>133</v>
      </c>
      <c r="G15" s="9" t="s">
        <v>43</v>
      </c>
      <c r="H15" s="9" t="s">
        <v>44</v>
      </c>
      <c r="I15" s="9" t="s">
        <v>148</v>
      </c>
      <c r="J15" s="8"/>
      <c r="K15" s="10" t="s">
        <v>130</v>
      </c>
      <c r="P15" s="55" t="s">
        <v>129</v>
      </c>
      <c r="Q15" s="8" t="s">
        <v>46</v>
      </c>
      <c r="R15" s="9" t="s">
        <v>133</v>
      </c>
      <c r="S15" s="9" t="s">
        <v>43</v>
      </c>
      <c r="T15" s="9" t="s">
        <v>44</v>
      </c>
      <c r="U15" s="10" t="s">
        <v>148</v>
      </c>
      <c r="V15" s="8"/>
      <c r="W15" s="22" t="s">
        <v>130</v>
      </c>
    </row>
    <row r="16" spans="4:23" x14ac:dyDescent="0.25">
      <c r="D16" s="14" t="s">
        <v>127</v>
      </c>
      <c r="E16" s="103">
        <v>137</v>
      </c>
      <c r="F16" s="103">
        <v>221</v>
      </c>
      <c r="G16" s="118">
        <v>183</v>
      </c>
      <c r="H16" s="103">
        <v>225</v>
      </c>
      <c r="I16" s="103">
        <v>213</v>
      </c>
      <c r="J16" s="103"/>
      <c r="K16" s="104">
        <f>SUM(E16:I16)</f>
        <v>979</v>
      </c>
      <c r="P16" s="79" t="s">
        <v>127</v>
      </c>
      <c r="Q16" s="103">
        <v>137</v>
      </c>
      <c r="R16" s="103">
        <v>221</v>
      </c>
      <c r="S16" s="103">
        <v>183</v>
      </c>
      <c r="T16" s="103">
        <v>225</v>
      </c>
      <c r="U16" s="104">
        <v>213</v>
      </c>
      <c r="V16" s="15"/>
      <c r="W16" s="104">
        <f>SUM(Q16:U16)</f>
        <v>979</v>
      </c>
    </row>
    <row r="17" spans="4:23" x14ac:dyDescent="0.25">
      <c r="D17" s="14" t="s">
        <v>128</v>
      </c>
      <c r="E17" s="103">
        <v>48</v>
      </c>
      <c r="F17" s="103">
        <v>45.5</v>
      </c>
      <c r="G17" s="118">
        <v>63.3</v>
      </c>
      <c r="H17" s="103">
        <v>69.3</v>
      </c>
      <c r="I17" s="103">
        <v>53.2</v>
      </c>
      <c r="J17" s="103"/>
      <c r="K17" s="104">
        <f>SUM(E17:I17)</f>
        <v>279.3</v>
      </c>
      <c r="P17" s="79" t="s">
        <v>210</v>
      </c>
      <c r="Q17" s="103">
        <v>48</v>
      </c>
      <c r="R17" s="103">
        <v>45.5</v>
      </c>
      <c r="S17" s="103">
        <v>63.3</v>
      </c>
      <c r="T17" s="103">
        <v>69.3</v>
      </c>
      <c r="U17" s="104">
        <v>53.2</v>
      </c>
      <c r="V17" s="15"/>
      <c r="W17" s="104">
        <f t="shared" ref="W17:W18" si="0">SUM(Q17:U17)</f>
        <v>279.3</v>
      </c>
    </row>
    <row r="18" spans="4:23" x14ac:dyDescent="0.25">
      <c r="D18" s="21" t="s">
        <v>201</v>
      </c>
      <c r="E18" s="24">
        <f>$G$10*E4</f>
        <v>683.6</v>
      </c>
      <c r="F18" s="24">
        <f>$G$10*F4</f>
        <v>512.69999999999993</v>
      </c>
      <c r="G18" s="72">
        <f t="shared" ref="G18:I18" si="1">$G$10*G4</f>
        <v>85.45</v>
      </c>
      <c r="H18" s="24">
        <f t="shared" si="1"/>
        <v>170.9</v>
      </c>
      <c r="I18" s="24">
        <f t="shared" si="1"/>
        <v>256.34999999999997</v>
      </c>
      <c r="J18" s="24"/>
      <c r="K18" s="54">
        <f>SUM(E18:I18)</f>
        <v>1709</v>
      </c>
      <c r="P18" s="21" t="s">
        <v>201</v>
      </c>
      <c r="Q18" s="26">
        <f>$I$10*E4</f>
        <v>10951.2</v>
      </c>
      <c r="R18" s="26">
        <f>$I$10*F4</f>
        <v>8213.4</v>
      </c>
      <c r="S18" s="26">
        <f t="shared" ref="S18:U18" si="2">$I$10*G4</f>
        <v>1368.9</v>
      </c>
      <c r="T18" s="26">
        <f t="shared" si="2"/>
        <v>2737.8</v>
      </c>
      <c r="U18" s="27">
        <f t="shared" si="2"/>
        <v>4106.7</v>
      </c>
      <c r="V18" s="15"/>
      <c r="W18" s="16">
        <f t="shared" si="0"/>
        <v>27378</v>
      </c>
    </row>
    <row r="19" spans="4:23" x14ac:dyDescent="0.25">
      <c r="D19" s="14"/>
      <c r="E19" s="15"/>
      <c r="F19" s="15"/>
      <c r="G19" s="47"/>
      <c r="H19" s="15"/>
      <c r="I19" s="15"/>
      <c r="J19" s="15"/>
      <c r="K19" s="16"/>
      <c r="P19" s="14"/>
      <c r="Q19" s="15"/>
      <c r="R19" s="15"/>
      <c r="S19" s="15"/>
      <c r="T19" s="15"/>
      <c r="U19" s="15"/>
      <c r="V19" s="15"/>
      <c r="W19" s="16"/>
    </row>
    <row r="20" spans="4:23" x14ac:dyDescent="0.25">
      <c r="D20" s="14"/>
      <c r="E20" s="15"/>
      <c r="F20" s="15"/>
      <c r="G20" s="47"/>
      <c r="H20" s="15"/>
      <c r="I20" s="15"/>
      <c r="J20" s="15"/>
      <c r="K20" s="16"/>
      <c r="P20" s="14"/>
      <c r="Q20" s="15"/>
      <c r="R20" s="15"/>
      <c r="S20" s="15"/>
      <c r="T20" s="15"/>
      <c r="U20" s="15"/>
      <c r="V20" s="15"/>
      <c r="W20" s="16"/>
    </row>
    <row r="21" spans="4:23" x14ac:dyDescent="0.25">
      <c r="D21" s="7" t="s">
        <v>202</v>
      </c>
      <c r="E21" s="22"/>
      <c r="F21" s="15"/>
      <c r="G21" s="47"/>
      <c r="H21" s="15"/>
      <c r="I21" s="15"/>
      <c r="J21" s="15"/>
      <c r="K21" s="16"/>
      <c r="P21" s="7" t="s">
        <v>202</v>
      </c>
      <c r="Q21" s="22"/>
      <c r="R21" s="15"/>
      <c r="S21" s="15"/>
      <c r="T21" s="15"/>
      <c r="U21" s="15"/>
      <c r="V21" s="15"/>
      <c r="W21" s="16"/>
    </row>
    <row r="22" spans="4:23" ht="30" x14ac:dyDescent="0.25">
      <c r="D22" s="21" t="s">
        <v>203</v>
      </c>
      <c r="E22" s="119">
        <f>E17*E18+F17*F18+G17*G18+H17*H18+I17*I18</f>
        <v>87030.825000000012</v>
      </c>
      <c r="F22" s="15"/>
      <c r="G22" s="47"/>
      <c r="H22" s="15"/>
      <c r="I22" s="15"/>
      <c r="J22" s="15"/>
      <c r="K22" s="16"/>
      <c r="P22" s="122" t="s">
        <v>209</v>
      </c>
      <c r="Q22" s="119">
        <f>Q17*Q18+R17*R18+S17*S18+T17*T18+U17*U18</f>
        <v>1394224.65</v>
      </c>
      <c r="R22" s="15"/>
      <c r="S22" s="15"/>
      <c r="T22" s="15"/>
      <c r="U22" s="15"/>
      <c r="V22" s="15"/>
      <c r="W22" s="16"/>
    </row>
    <row r="23" spans="4:23" x14ac:dyDescent="0.25">
      <c r="D23" s="14"/>
      <c r="E23" s="15"/>
      <c r="F23" s="15"/>
      <c r="G23" s="47"/>
      <c r="H23" s="15"/>
      <c r="I23" s="15"/>
      <c r="J23" s="15"/>
      <c r="K23" s="16"/>
      <c r="P23" s="14"/>
      <c r="Q23" s="15"/>
      <c r="R23" s="15"/>
      <c r="S23" s="15"/>
      <c r="T23" s="15"/>
      <c r="U23" s="15"/>
      <c r="V23" s="15"/>
      <c r="W23" s="16"/>
    </row>
    <row r="24" spans="4:23" x14ac:dyDescent="0.25">
      <c r="D24" s="14"/>
      <c r="E24" s="15"/>
      <c r="F24" s="15"/>
      <c r="G24" s="47"/>
      <c r="H24" s="15"/>
      <c r="I24" s="15"/>
      <c r="J24" s="15"/>
      <c r="K24" s="16"/>
      <c r="P24" s="14"/>
      <c r="Q24" s="15"/>
      <c r="R24" s="15"/>
      <c r="S24" s="15"/>
      <c r="T24" s="15"/>
      <c r="U24" s="15"/>
      <c r="V24" s="15"/>
      <c r="W24" s="16"/>
    </row>
    <row r="25" spans="4:23" ht="45" x14ac:dyDescent="0.25">
      <c r="D25" s="55" t="s">
        <v>213</v>
      </c>
      <c r="E25" s="8" t="s">
        <v>46</v>
      </c>
      <c r="F25" s="8" t="s">
        <v>133</v>
      </c>
      <c r="G25" s="9" t="s">
        <v>43</v>
      </c>
      <c r="H25" s="8" t="s">
        <v>44</v>
      </c>
      <c r="I25" s="8" t="s">
        <v>214</v>
      </c>
      <c r="J25" s="8" t="s">
        <v>130</v>
      </c>
      <c r="K25" s="22" t="s">
        <v>208</v>
      </c>
      <c r="P25" s="55" t="s">
        <v>211</v>
      </c>
      <c r="Q25" s="8" t="s">
        <v>46</v>
      </c>
      <c r="R25" s="9" t="s">
        <v>133</v>
      </c>
      <c r="S25" s="9" t="s">
        <v>43</v>
      </c>
      <c r="T25" s="9" t="s">
        <v>44</v>
      </c>
      <c r="U25" s="9" t="s">
        <v>214</v>
      </c>
      <c r="V25" s="8" t="s">
        <v>130</v>
      </c>
      <c r="W25" s="22" t="s">
        <v>208</v>
      </c>
    </row>
    <row r="26" spans="4:23" x14ac:dyDescent="0.25">
      <c r="D26" s="14" t="s">
        <v>230</v>
      </c>
      <c r="E26" s="95">
        <v>574.60000000000036</v>
      </c>
      <c r="F26" s="95">
        <v>512.69999999999993</v>
      </c>
      <c r="G26" s="96">
        <v>85.450000000000017</v>
      </c>
      <c r="H26" s="95">
        <v>170.9</v>
      </c>
      <c r="I26" s="95">
        <v>256.34999999999997</v>
      </c>
      <c r="J26" s="15">
        <f>SUM(E26:I26)</f>
        <v>1600.0000000000002</v>
      </c>
      <c r="K26" s="97">
        <v>1600</v>
      </c>
      <c r="P26" s="14" t="s">
        <v>230</v>
      </c>
      <c r="Q26" s="95">
        <f>$I$10*E4</f>
        <v>10951.2</v>
      </c>
      <c r="R26" s="95">
        <f t="shared" ref="R26:U26" si="3">$I$10*F4</f>
        <v>8213.4</v>
      </c>
      <c r="S26" s="95">
        <f t="shared" si="3"/>
        <v>1368.9</v>
      </c>
      <c r="T26" s="95">
        <f t="shared" si="3"/>
        <v>2737.8</v>
      </c>
      <c r="U26" s="95">
        <f t="shared" si="3"/>
        <v>4106.7</v>
      </c>
      <c r="V26" s="15">
        <f>SUM(Q26:U26)</f>
        <v>27378</v>
      </c>
      <c r="W26" s="97">
        <v>26000</v>
      </c>
    </row>
    <row r="27" spans="4:23" x14ac:dyDescent="0.25">
      <c r="D27" s="14" t="s">
        <v>204</v>
      </c>
      <c r="E27" s="103">
        <f>E16*E26</f>
        <v>78720.200000000055</v>
      </c>
      <c r="F27" s="103">
        <f t="shared" ref="F27:I27" si="4">F16*F26</f>
        <v>113306.69999999998</v>
      </c>
      <c r="G27" s="118">
        <f t="shared" si="4"/>
        <v>15637.350000000004</v>
      </c>
      <c r="H27" s="103">
        <f t="shared" si="4"/>
        <v>38452.5</v>
      </c>
      <c r="I27" s="103">
        <f t="shared" si="4"/>
        <v>54602.549999999996</v>
      </c>
      <c r="J27" s="120">
        <f>SUM(E27:I27)</f>
        <v>300719.30000000005</v>
      </c>
      <c r="K27" s="16"/>
      <c r="P27" s="14" t="s">
        <v>204</v>
      </c>
      <c r="Q27" s="103">
        <f>Q16*Q26</f>
        <v>1500314.4000000001</v>
      </c>
      <c r="R27" s="103">
        <f t="shared" ref="R27:U27" si="5">R16*R26</f>
        <v>1815161.4</v>
      </c>
      <c r="S27" s="103">
        <f t="shared" si="5"/>
        <v>250508.7</v>
      </c>
      <c r="T27" s="103">
        <f t="shared" si="5"/>
        <v>616005</v>
      </c>
      <c r="U27" s="103">
        <f t="shared" si="5"/>
        <v>874727.1</v>
      </c>
      <c r="V27" s="120">
        <f t="shared" ref="V27:V30" si="6">SUM(Q27:U27)</f>
        <v>5056716.5999999996</v>
      </c>
      <c r="W27" s="16"/>
    </row>
    <row r="28" spans="4:23" x14ac:dyDescent="0.25">
      <c r="D28" s="11" t="s">
        <v>205</v>
      </c>
      <c r="E28" s="103">
        <f>(E16/2)*E18</f>
        <v>46826.6</v>
      </c>
      <c r="F28" s="103">
        <f t="shared" ref="F28:I28" si="7">(F16/2)*F18</f>
        <v>56653.349999999991</v>
      </c>
      <c r="G28" s="118">
        <f t="shared" si="7"/>
        <v>7818.6750000000002</v>
      </c>
      <c r="H28" s="103">
        <f>(H16/2)*H18</f>
        <v>19226.25</v>
      </c>
      <c r="I28" s="103">
        <f t="shared" si="7"/>
        <v>27301.274999999998</v>
      </c>
      <c r="J28" s="103">
        <f>SUM(E28:I28)</f>
        <v>157826.15</v>
      </c>
      <c r="K28" s="16"/>
      <c r="P28" s="11" t="s">
        <v>205</v>
      </c>
      <c r="Q28" s="103">
        <f>(Q16/2)*Q18</f>
        <v>750157.20000000007</v>
      </c>
      <c r="R28" s="103">
        <f t="shared" ref="R28:U28" si="8">(R16/2)*R18</f>
        <v>907580.7</v>
      </c>
      <c r="S28" s="103">
        <f t="shared" si="8"/>
        <v>125254.35</v>
      </c>
      <c r="T28" s="103">
        <f t="shared" si="8"/>
        <v>308002.5</v>
      </c>
      <c r="U28" s="103">
        <f t="shared" si="8"/>
        <v>437363.55</v>
      </c>
      <c r="V28" s="103">
        <f t="shared" si="6"/>
        <v>2528358.2999999998</v>
      </c>
      <c r="W28" s="16"/>
    </row>
    <row r="29" spans="4:23" x14ac:dyDescent="0.25">
      <c r="D29" s="14" t="s">
        <v>206</v>
      </c>
      <c r="E29" s="103">
        <v>48</v>
      </c>
      <c r="F29" s="103">
        <v>45.5</v>
      </c>
      <c r="G29" s="118">
        <v>63.3</v>
      </c>
      <c r="H29" s="103">
        <v>69.3</v>
      </c>
      <c r="I29" s="103">
        <v>53.2</v>
      </c>
      <c r="J29" s="103">
        <f>E22</f>
        <v>87030.825000000012</v>
      </c>
      <c r="K29" s="104">
        <f>J31</f>
        <v>115750.99725000001</v>
      </c>
      <c r="P29" s="14" t="s">
        <v>206</v>
      </c>
      <c r="Q29" s="103">
        <v>48</v>
      </c>
      <c r="R29" s="103">
        <v>45.5</v>
      </c>
      <c r="S29" s="103">
        <v>63.3</v>
      </c>
      <c r="T29" s="103">
        <v>69.3</v>
      </c>
      <c r="U29" s="103">
        <v>53.2</v>
      </c>
      <c r="V29" s="103">
        <f>Q22</f>
        <v>1394224.65</v>
      </c>
      <c r="W29" s="97">
        <f>V31</f>
        <v>1854318.7845000001</v>
      </c>
    </row>
    <row r="30" spans="4:23" x14ac:dyDescent="0.25">
      <c r="D30" s="14" t="s">
        <v>207</v>
      </c>
      <c r="E30" s="98">
        <f>$G$10*E4</f>
        <v>683.6</v>
      </c>
      <c r="F30" s="98">
        <f t="shared" ref="F30:I30" si="9">$G$10*F4</f>
        <v>512.69999999999993</v>
      </c>
      <c r="G30" s="99">
        <f t="shared" si="9"/>
        <v>85.45</v>
      </c>
      <c r="H30" s="98">
        <f t="shared" si="9"/>
        <v>170.9</v>
      </c>
      <c r="I30" s="98">
        <f t="shared" si="9"/>
        <v>256.34999999999997</v>
      </c>
      <c r="J30" s="98">
        <f>SUM(E30:I30)</f>
        <v>1709</v>
      </c>
      <c r="K30" s="16"/>
      <c r="P30" s="14" t="s">
        <v>207</v>
      </c>
      <c r="Q30" s="98">
        <f>$I$10*E4</f>
        <v>10951.2</v>
      </c>
      <c r="R30" s="98">
        <f t="shared" ref="R30:U30" si="10">$I$10*F4</f>
        <v>8213.4</v>
      </c>
      <c r="S30" s="98">
        <f t="shared" si="10"/>
        <v>1368.9</v>
      </c>
      <c r="T30" s="98">
        <f t="shared" si="10"/>
        <v>2737.8</v>
      </c>
      <c r="U30" s="98">
        <f t="shared" si="10"/>
        <v>4106.7</v>
      </c>
      <c r="V30" s="98">
        <f t="shared" si="6"/>
        <v>27378</v>
      </c>
      <c r="W30" s="16"/>
    </row>
    <row r="31" spans="4:23" ht="30" x14ac:dyDescent="0.25">
      <c r="D31" s="21" t="s">
        <v>212</v>
      </c>
      <c r="E31" s="114">
        <f>E29*1.33</f>
        <v>63.84</v>
      </c>
      <c r="F31" s="114">
        <f t="shared" ref="F31:I31" si="11">F29*1.33</f>
        <v>60.515000000000001</v>
      </c>
      <c r="G31" s="121">
        <f t="shared" si="11"/>
        <v>84.189000000000007</v>
      </c>
      <c r="H31" s="114">
        <f t="shared" si="11"/>
        <v>92.168999999999997</v>
      </c>
      <c r="I31" s="114">
        <f t="shared" si="11"/>
        <v>70.756000000000014</v>
      </c>
      <c r="J31" s="114">
        <f>E31*E18+F31*F18+G31*G18+H31*H18+I31*I18</f>
        <v>115750.99725000001</v>
      </c>
      <c r="K31" s="54"/>
      <c r="P31" s="21" t="s">
        <v>212</v>
      </c>
      <c r="Q31" s="114">
        <f>Q29*1.33</f>
        <v>63.84</v>
      </c>
      <c r="R31" s="114">
        <f t="shared" ref="R31:U31" si="12">R29*1.33</f>
        <v>60.515000000000001</v>
      </c>
      <c r="S31" s="114">
        <f t="shared" si="12"/>
        <v>84.189000000000007</v>
      </c>
      <c r="T31" s="114">
        <f t="shared" si="12"/>
        <v>92.168999999999997</v>
      </c>
      <c r="U31" s="114">
        <f t="shared" si="12"/>
        <v>70.756000000000014</v>
      </c>
      <c r="V31" s="114">
        <f>Q31*Q18+R31*R18+S31*S18+T31*T18+U31*U18</f>
        <v>1854318.7845000001</v>
      </c>
      <c r="W31" s="54"/>
    </row>
    <row r="33" spans="16:16" x14ac:dyDescent="0.25">
      <c r="P33" s="41" t="s">
        <v>131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Analiza osetljivosti</vt:lpstr>
      <vt:lpstr>Spineri</vt:lpstr>
      <vt:lpstr>Solver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</dc:creator>
  <cp:lastModifiedBy>Tijana</cp:lastModifiedBy>
  <dcterms:created xsi:type="dcterms:W3CDTF">2023-03-30T12:21:53Z</dcterms:created>
  <dcterms:modified xsi:type="dcterms:W3CDTF">2023-05-05T08:11:04Z</dcterms:modified>
</cp:coreProperties>
</file>